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LAND &amp; BUILDING - 2025\Leebo Metals Pvt Ltd\"/>
    </mc:Choice>
  </mc:AlternateContent>
  <xr:revisionPtr revIDLastSave="0" documentId="13_ncr:1_{5B46CF63-F431-4FF1-ADF5-E660C7812AB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eebo Metals" sheetId="2" r:id="rId1"/>
    <sheet name="Sheet1" sheetId="3" r:id="rId2"/>
    <sheet name="Location" sheetId="4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2" l="1"/>
  <c r="X14" i="3"/>
  <c r="L15" i="3"/>
  <c r="H11" i="2"/>
  <c r="I11" i="2" s="1"/>
  <c r="J11" i="2" s="1"/>
  <c r="K11" i="2" s="1"/>
  <c r="M11" i="2"/>
  <c r="H18" i="2"/>
  <c r="I18" i="2" s="1"/>
  <c r="J18" i="2" s="1"/>
  <c r="K18" i="2" s="1"/>
  <c r="H17" i="2"/>
  <c r="I17" i="2" s="1"/>
  <c r="J17" i="2" s="1"/>
  <c r="K17" i="2" s="1"/>
  <c r="H16" i="2"/>
  <c r="I16" i="2" s="1"/>
  <c r="J16" i="2" s="1"/>
  <c r="K16" i="2" s="1"/>
  <c r="H15" i="2"/>
  <c r="I15" i="2" s="1"/>
  <c r="J15" i="2" s="1"/>
  <c r="K15" i="2" s="1"/>
  <c r="M14" i="2"/>
  <c r="H14" i="2"/>
  <c r="I14" i="2" s="1"/>
  <c r="J14" i="2" s="1"/>
  <c r="K14" i="2" s="1"/>
  <c r="C18" i="2"/>
  <c r="M18" i="2" s="1"/>
  <c r="C17" i="2"/>
  <c r="M17" i="2" s="1"/>
  <c r="C16" i="2"/>
  <c r="M16" i="2" s="1"/>
  <c r="C15" i="2"/>
  <c r="M15" i="2" s="1"/>
  <c r="C14" i="2"/>
  <c r="L16" i="2" l="1"/>
  <c r="L14" i="2"/>
  <c r="L15" i="2"/>
  <c r="L18" i="2"/>
  <c r="L11" i="2"/>
  <c r="L17" i="2"/>
  <c r="C19" i="2"/>
  <c r="H12" i="2" l="1"/>
  <c r="I12" i="2" s="1"/>
  <c r="J12" i="2" s="1"/>
  <c r="K12" i="2" s="1"/>
  <c r="L12" i="2" s="1"/>
  <c r="H13" i="2"/>
  <c r="I13" i="2" s="1"/>
  <c r="J13" i="2" s="1"/>
  <c r="K13" i="2" s="1"/>
  <c r="L13" i="2" s="1"/>
  <c r="H10" i="2"/>
  <c r="D47" i="2"/>
  <c r="C43" i="2"/>
  <c r="C44" i="2" s="1"/>
  <c r="C45" i="2" s="1"/>
  <c r="C36" i="2"/>
  <c r="C25" i="2"/>
  <c r="C35" i="2" s="1"/>
  <c r="D35" i="2" s="1"/>
  <c r="M13" i="2"/>
  <c r="M12" i="2"/>
  <c r="M10" i="2"/>
  <c r="I10" i="2"/>
  <c r="J10" i="2" s="1"/>
  <c r="K10" i="2" s="1"/>
  <c r="L10" i="2" s="1"/>
  <c r="M9" i="2"/>
  <c r="J9" i="2"/>
  <c r="K9" i="2" s="1"/>
  <c r="D4" i="2"/>
  <c r="C4" i="2"/>
  <c r="C33" i="2" s="1"/>
  <c r="D37" i="2" l="1"/>
  <c r="M19" i="2"/>
  <c r="C46" i="2" s="1"/>
  <c r="K19" i="2"/>
  <c r="L9" i="2"/>
  <c r="L19" i="2" s="1"/>
  <c r="C34" i="2" s="1"/>
  <c r="C37" i="2" s="1"/>
  <c r="C47" i="2" l="1"/>
  <c r="D38" i="2"/>
  <c r="D42" i="2"/>
  <c r="C42" i="2"/>
  <c r="C38" i="2"/>
  <c r="C39" i="2"/>
  <c r="C40" i="2" s="1"/>
  <c r="C41" i="2" s="1"/>
</calcChain>
</file>

<file path=xl/sharedStrings.xml><?xml version="1.0" encoding="utf-8"?>
<sst xmlns="http://schemas.openxmlformats.org/spreadsheetml/2006/main" count="53" uniqueCount="45">
  <si>
    <t>Land Value</t>
  </si>
  <si>
    <t>Land Area</t>
  </si>
  <si>
    <t>Rate</t>
  </si>
  <si>
    <t xml:space="preserve"> Value</t>
  </si>
  <si>
    <t>Structure Value</t>
  </si>
  <si>
    <t>Items</t>
  </si>
  <si>
    <t xml:space="preserve"> Area In             Sq.M.</t>
  </si>
  <si>
    <t>Year Of Const.</t>
  </si>
  <si>
    <t>Valuation Year</t>
  </si>
  <si>
    <t>Total Life of Structure</t>
  </si>
  <si>
    <t>Full Rate</t>
  </si>
  <si>
    <t>Age Of Build.</t>
  </si>
  <si>
    <t>% of the depreciation rate to be deducted</t>
  </si>
  <si>
    <t>% Value</t>
  </si>
  <si>
    <t>Final Depreciated Rate to be considered</t>
  </si>
  <si>
    <t>Final Depreciated Value to be considered</t>
  </si>
  <si>
    <t>Insurance Value / Full Value</t>
  </si>
  <si>
    <t>Admin Building</t>
  </si>
  <si>
    <t>Interior and other Development</t>
  </si>
  <si>
    <t>Built up area</t>
  </si>
  <si>
    <t>Value</t>
  </si>
  <si>
    <t>Land Development Value</t>
  </si>
  <si>
    <t>land area</t>
  </si>
  <si>
    <t>Normal Case</t>
  </si>
  <si>
    <t>Previous Report</t>
  </si>
  <si>
    <t>Land Development</t>
  </si>
  <si>
    <t>Total Value</t>
  </si>
  <si>
    <t>Realisable Value</t>
  </si>
  <si>
    <t>Distress Value</t>
  </si>
  <si>
    <t>Insurance Value</t>
  </si>
  <si>
    <t>Government Value</t>
  </si>
  <si>
    <t xml:space="preserve">Main Factory  </t>
  </si>
  <si>
    <t>Ground Floor</t>
  </si>
  <si>
    <t>Mezzanine Floor</t>
  </si>
  <si>
    <t>First Floor</t>
  </si>
  <si>
    <t>Lean To shed 4 Sides</t>
  </si>
  <si>
    <t xml:space="preserve">Security Cabin </t>
  </si>
  <si>
    <t>Toilet Block</t>
  </si>
  <si>
    <t>Ground Floor Double Height</t>
  </si>
  <si>
    <t>Sq.M</t>
  </si>
  <si>
    <t>Sq.Ft</t>
  </si>
  <si>
    <t>First Floor -Building No.1</t>
  </si>
  <si>
    <t>First Floor -Building No.2</t>
  </si>
  <si>
    <t>per sq.M</t>
  </si>
  <si>
    <t>Interior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</si>
</sst>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0"/>
      <color theme="1"/>
      <name val="Arial Narrow"/>
      <family val="2"/>
    </font>
    <font>
      <b/>
      <sz val="11"/>
      <name val="Calibri"/>
      <family val="2"/>
    </font>
    <font>
      <b/>
      <u/>
      <sz val="12"/>
      <color theme="1"/>
      <name val="Calibri"/>
      <family val="2"/>
      <scheme val="minor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sz val="11"/>
      <color rgb="FFFF0000"/>
      <name val="Arial Narrow"/>
      <family val="2"/>
    </font>
    <font>
      <b/>
      <sz val="11"/>
      <color theme="0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2" fillId="0" borderId="0" xfId="0" applyFont="1"/>
    <xf numFmtId="0" fontId="4" fillId="0" borderId="0" xfId="0" applyFont="1"/>
    <xf numFmtId="0" fontId="2" fillId="0" borderId="1" xfId="0" applyFont="1" applyBorder="1" applyAlignment="1">
      <alignment horizontal="center" wrapText="1"/>
    </xf>
    <xf numFmtId="43" fontId="2" fillId="0" borderId="1" xfId="1" applyFont="1" applyBorder="1"/>
    <xf numFmtId="0" fontId="5" fillId="0" borderId="2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4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" fontId="6" fillId="0" borderId="1" xfId="0" applyNumberFormat="1" applyFont="1" applyBorder="1" applyAlignment="1">
      <alignment vertical="top"/>
    </xf>
    <xf numFmtId="0" fontId="6" fillId="0" borderId="2" xfId="0" applyFont="1" applyBorder="1"/>
    <xf numFmtId="0" fontId="6" fillId="0" borderId="1" xfId="0" applyFont="1" applyBorder="1"/>
    <xf numFmtId="4" fontId="4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horizontal="center" wrapText="1"/>
    </xf>
    <xf numFmtId="4" fontId="7" fillId="0" borderId="1" xfId="0" applyNumberFormat="1" applyFont="1" applyBorder="1"/>
    <xf numFmtId="43" fontId="7" fillId="0" borderId="1" xfId="1" applyFont="1" applyBorder="1"/>
    <xf numFmtId="0" fontId="6" fillId="0" borderId="0" xfId="0" applyFont="1"/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43" fontId="7" fillId="0" borderId="0" xfId="1" applyFont="1"/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top" wrapText="1" shrinkToFit="1"/>
    </xf>
    <xf numFmtId="0" fontId="10" fillId="0" borderId="1" xfId="0" applyFont="1" applyBorder="1"/>
    <xf numFmtId="0" fontId="6" fillId="0" borderId="1" xfId="0" applyFont="1" applyBorder="1" applyAlignment="1">
      <alignment horizontal="right" vertical="center" wrapText="1"/>
    </xf>
    <xf numFmtId="4" fontId="11" fillId="0" borderId="1" xfId="0" applyNumberFormat="1" applyFont="1" applyBorder="1" applyAlignment="1">
      <alignment horizontal="right" wrapText="1"/>
    </xf>
    <xf numFmtId="0" fontId="7" fillId="0" borderId="1" xfId="0" applyFont="1" applyBorder="1" applyAlignment="1">
      <alignment vertical="top"/>
    </xf>
    <xf numFmtId="4" fontId="7" fillId="0" borderId="1" xfId="0" applyNumberFormat="1" applyFont="1" applyBorder="1" applyAlignment="1">
      <alignment vertical="top"/>
    </xf>
    <xf numFmtId="0" fontId="12" fillId="0" borderId="1" xfId="0" applyFont="1" applyBorder="1"/>
    <xf numFmtId="0" fontId="11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2" fillId="0" borderId="1" xfId="0" applyFont="1" applyBorder="1" applyAlignment="1">
      <alignment vertical="top" wrapText="1"/>
    </xf>
    <xf numFmtId="4" fontId="6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" fillId="0" borderId="0" xfId="0" applyFont="1" applyAlignment="1">
      <alignment vertical="top" wrapText="1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6" fillId="0" borderId="0" xfId="0" applyFont="1" applyAlignment="1">
      <alignment vertical="top"/>
    </xf>
    <xf numFmtId="4" fontId="2" fillId="0" borderId="0" xfId="0" applyNumberFormat="1" applyFont="1" applyAlignment="1">
      <alignment vertical="top"/>
    </xf>
    <xf numFmtId="4" fontId="6" fillId="0" borderId="0" xfId="0" applyNumberFormat="1" applyFont="1" applyAlignment="1">
      <alignment vertical="top"/>
    </xf>
    <xf numFmtId="4" fontId="6" fillId="0" borderId="1" xfId="0" applyNumberFormat="1" applyFont="1" applyBorder="1"/>
    <xf numFmtId="0" fontId="2" fillId="0" borderId="1" xfId="0" applyFont="1" applyBorder="1" applyAlignment="1">
      <alignment horizontal="center"/>
    </xf>
    <xf numFmtId="4" fontId="4" fillId="0" borderId="1" xfId="0" applyNumberFormat="1" applyFont="1" applyBorder="1"/>
    <xf numFmtId="0" fontId="5" fillId="0" borderId="0" xfId="0" applyFont="1" applyAlignment="1">
      <alignment horizontal="center" vertical="top" wrapText="1" shrinkToFit="1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 vertical="top"/>
    </xf>
    <xf numFmtId="0" fontId="13" fillId="0" borderId="0" xfId="0" applyFont="1"/>
    <xf numFmtId="4" fontId="4" fillId="0" borderId="5" xfId="0" applyNumberFormat="1" applyFont="1" applyBorder="1" applyAlignment="1">
      <alignment vertical="top"/>
    </xf>
    <xf numFmtId="0" fontId="14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7" fillId="0" borderId="0" xfId="0" applyFont="1"/>
    <xf numFmtId="4" fontId="6" fillId="0" borderId="0" xfId="0" applyNumberFormat="1" applyFont="1"/>
    <xf numFmtId="0" fontId="2" fillId="0" borderId="0" xfId="0" applyFont="1" applyAlignment="1">
      <alignment wrapText="1"/>
    </xf>
    <xf numFmtId="4" fontId="4" fillId="0" borderId="0" xfId="0" applyNumberFormat="1" applyFont="1"/>
    <xf numFmtId="4" fontId="13" fillId="0" borderId="0" xfId="0" applyNumberFormat="1" applyFont="1"/>
    <xf numFmtId="4" fontId="2" fillId="0" borderId="0" xfId="0" applyNumberFormat="1" applyFont="1"/>
    <xf numFmtId="2" fontId="4" fillId="0" borderId="0" xfId="0" applyNumberFormat="1" applyFont="1"/>
    <xf numFmtId="0" fontId="4" fillId="0" borderId="0" xfId="0" applyFont="1" applyAlignment="1">
      <alignment wrapText="1"/>
    </xf>
    <xf numFmtId="2" fontId="6" fillId="0" borderId="0" xfId="0" applyNumberFormat="1" applyFont="1"/>
    <xf numFmtId="0" fontId="13" fillId="0" borderId="0" xfId="0" applyFont="1" applyAlignment="1">
      <alignment wrapText="1"/>
    </xf>
    <xf numFmtId="0" fontId="2" fillId="0" borderId="0" xfId="0" applyFont="1" applyAlignment="1">
      <alignment horizontal="right" vertical="top" wrapText="1"/>
    </xf>
    <xf numFmtId="43" fontId="6" fillId="0" borderId="0" xfId="0" applyNumberFormat="1" applyFont="1"/>
    <xf numFmtId="0" fontId="11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43" fontId="2" fillId="0" borderId="1" xfId="0" applyNumberFormat="1" applyFont="1" applyBorder="1"/>
    <xf numFmtId="0" fontId="3" fillId="0" borderId="1" xfId="0" applyFont="1" applyBorder="1" applyAlignment="1">
      <alignment vertical="top" wrapText="1"/>
    </xf>
    <xf numFmtId="2" fontId="2" fillId="0" borderId="1" xfId="0" applyNumberFormat="1" applyFont="1" applyBorder="1" applyAlignment="1">
      <alignment horizontal="right" vertical="center" wrapText="1"/>
    </xf>
    <xf numFmtId="2" fontId="2" fillId="0" borderId="1" xfId="0" applyNumberFormat="1" applyFont="1" applyBorder="1" applyAlignment="1">
      <alignment horizontal="right" vertical="top" wrapText="1"/>
    </xf>
    <xf numFmtId="2" fontId="11" fillId="0" borderId="1" xfId="0" applyNumberFormat="1" applyFont="1" applyBorder="1" applyAlignment="1">
      <alignment horizontal="right" wrapText="1"/>
    </xf>
    <xf numFmtId="2" fontId="15" fillId="0" borderId="1" xfId="0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6" fillId="0" borderId="1" xfId="0" applyFont="1" applyBorder="1" applyAlignment="1">
      <alignment vertical="top"/>
    </xf>
    <xf numFmtId="0" fontId="7" fillId="2" borderId="0" xfId="0" applyFont="1" applyFill="1" applyAlignment="1">
      <alignment horizontal="center" vertical="top"/>
    </xf>
    <xf numFmtId="4" fontId="6" fillId="2" borderId="0" xfId="0" applyNumberFormat="1" applyFont="1" applyFill="1"/>
    <xf numFmtId="4" fontId="7" fillId="2" borderId="0" xfId="0" applyNumberFormat="1" applyFont="1" applyFill="1"/>
    <xf numFmtId="2" fontId="6" fillId="2" borderId="0" xfId="0" applyNumberFormat="1" applyFont="1" applyFill="1"/>
    <xf numFmtId="43" fontId="6" fillId="2" borderId="0" xfId="1" applyFont="1" applyFill="1"/>
    <xf numFmtId="0" fontId="4" fillId="2" borderId="0" xfId="0" applyFont="1" applyFill="1"/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900794</xdr:colOff>
      <xdr:row>21</xdr:row>
      <xdr:rowOff>47625</xdr:rowOff>
    </xdr:from>
    <xdr:to>
      <xdr:col>21</xdr:col>
      <xdr:colOff>274275</xdr:colOff>
      <xdr:row>64</xdr:row>
      <xdr:rowOff>59588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40C71D-63FF-ABE7-A972-B3C9D148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0169" y="5000625"/>
          <a:ext cx="5517106" cy="7898663"/>
        </a:xfrm>
        <a:prstGeom prst="rect">
          <a:avLst/>
        </a:prstGeom>
      </xdr:spPr>
    </xdr:pic>
    <xdr:clientData/>
  </xdr:twoCellAnchor>
  <xdr:twoCellAnchor editAs="oneCell">
    <xdr:from>
      <xdr:col>13</xdr:col>
      <xdr:colOff>322491</xdr:colOff>
      <xdr:row>0</xdr:row>
      <xdr:rowOff>0</xdr:rowOff>
    </xdr:from>
    <xdr:to>
      <xdr:col>20</xdr:col>
      <xdr:colOff>520456</xdr:colOff>
      <xdr:row>6</xdr:row>
      <xdr:rowOff>190697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06655E3-82CA-1112-0B55-9497B153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5391" y="0"/>
          <a:ext cx="4741390" cy="1447997"/>
        </a:xfrm>
        <a:prstGeom prst="rect">
          <a:avLst/>
        </a:prstGeom>
      </xdr:spPr>
    </xdr:pic>
    <xdr:clientData/>
  </xdr:twoCellAnchor>
  <xdr:twoCellAnchor editAs="oneCell">
    <xdr:from>
      <xdr:col>13</xdr:col>
      <xdr:colOff>453117</xdr:colOff>
      <xdr:row>6</xdr:row>
      <xdr:rowOff>247650</xdr:rowOff>
    </xdr:from>
    <xdr:to>
      <xdr:col>20</xdr:col>
      <xdr:colOff>498661</xdr:colOff>
      <xdr:row>18</xdr:row>
      <xdr:rowOff>133754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8BB964-7BBD-D132-E201-ADAD9AF10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26017" y="1504950"/>
          <a:ext cx="4588969" cy="2953154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20</xdr:row>
      <xdr:rowOff>171450</xdr:rowOff>
    </xdr:from>
    <xdr:to>
      <xdr:col>12</xdr:col>
      <xdr:colOff>324488</xdr:colOff>
      <xdr:row>23</xdr:row>
      <xdr:rowOff>85801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B0489B-FAEA-3CDA-6665-4EC40C8E0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91225" y="4914900"/>
          <a:ext cx="4572638" cy="543001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24</xdr:row>
      <xdr:rowOff>47625</xdr:rowOff>
    </xdr:from>
    <xdr:to>
      <xdr:col>12</xdr:col>
      <xdr:colOff>238125</xdr:colOff>
      <xdr:row>30</xdr:row>
      <xdr:rowOff>47811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8A42ADC-BC76-82D3-4448-DB099494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81700" y="5629275"/>
          <a:ext cx="4495800" cy="1333686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30</xdr:row>
      <xdr:rowOff>180975</xdr:rowOff>
    </xdr:from>
    <xdr:to>
      <xdr:col>11</xdr:col>
      <xdr:colOff>657770</xdr:colOff>
      <xdr:row>60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4EC9E-1737-47E8-822D-4D9508CA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00750" y="7096125"/>
          <a:ext cx="3905795" cy="495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123826</xdr:rowOff>
    </xdr:from>
    <xdr:to>
      <xdr:col>11</xdr:col>
      <xdr:colOff>28575</xdr:colOff>
      <xdr:row>32</xdr:row>
      <xdr:rowOff>142290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6DDFE-A230-4111-9B28-661987A3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23826"/>
          <a:ext cx="5734050" cy="6114464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0</xdr:row>
      <xdr:rowOff>161924</xdr:rowOff>
    </xdr:from>
    <xdr:to>
      <xdr:col>23</xdr:col>
      <xdr:colOff>240396</xdr:colOff>
      <xdr:row>32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706AC7-D91D-4FCD-88FF-073A2459E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161924"/>
          <a:ext cx="6164946" cy="59721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67508</xdr:rowOff>
    </xdr:from>
    <xdr:to>
      <xdr:col>13</xdr:col>
      <xdr:colOff>523875</xdr:colOff>
      <xdr:row>29</xdr:row>
      <xdr:rowOff>48650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F4FCA-DE8F-44D2-8F8B-AF190ACBD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58008"/>
          <a:ext cx="8210550" cy="531514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76200</xdr:colOff>
      <xdr:row>1</xdr:row>
      <xdr:rowOff>76293</xdr:rowOff>
    </xdr:from>
    <xdr:to>
      <xdr:col>27</xdr:col>
      <xdr:colOff>91357</xdr:colOff>
      <xdr:row>29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B57812-D592-405E-B8D5-68956E4D5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0" y="266793"/>
          <a:ext cx="7939957" cy="531485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AC023-5DFB-4D4E-A8DD-DC770D2AE745}">
  <dimension ref="A1:N92"/>
  <sheetViews>
    <sheetView tabSelected="1" zoomScaleNormal="100" workbookViewId="0">
      <selection activeCell="D22" sqref="D22"/>
    </sheetView>
  </sheetViews>
  <sheetFormatPr defaultRowHeight="16.5" x14ac:dyDescent="0.3"/>
  <cols>
    <col min="1" max="1" width="9.140625" style="1"/>
    <col min="2" max="2" width="23.5703125" style="54" customWidth="1"/>
    <col min="3" max="3" width="13.85546875" style="3" bestFit="1" customWidth="1"/>
    <col min="4" max="4" width="15.85546875" style="3" customWidth="1"/>
    <col min="5" max="5" width="11.28515625" style="3" customWidth="1"/>
    <col min="6" max="6" width="9.42578125" style="4" customWidth="1"/>
    <col min="7" max="7" width="11.7109375" style="4" customWidth="1"/>
    <col min="8" max="8" width="8.5703125" style="4" customWidth="1"/>
    <col min="9" max="9" width="11.85546875" style="3" customWidth="1"/>
    <col min="10" max="10" width="10.42578125" style="4" customWidth="1"/>
    <col min="11" max="11" width="13" style="3" customWidth="1"/>
    <col min="12" max="12" width="14.85546875" style="4" customWidth="1"/>
    <col min="13" max="13" width="14.85546875" style="4" bestFit="1" customWidth="1"/>
    <col min="14" max="14" width="13.28515625" style="4" bestFit="1" customWidth="1"/>
    <col min="15" max="16384" width="9.140625" style="3"/>
  </cols>
  <sheetData>
    <row r="1" spans="1:14" x14ac:dyDescent="0.3">
      <c r="B1" s="2" t="s">
        <v>0</v>
      </c>
      <c r="C1" s="75" t="s">
        <v>39</v>
      </c>
      <c r="D1" s="75" t="s">
        <v>40</v>
      </c>
    </row>
    <row r="2" spans="1:14" x14ac:dyDescent="0.3">
      <c r="B2" s="5" t="s">
        <v>1</v>
      </c>
      <c r="C2" s="6">
        <v>3130</v>
      </c>
      <c r="D2" s="69">
        <f>C2</f>
        <v>3130</v>
      </c>
      <c r="E2" s="7"/>
      <c r="F2" s="8"/>
      <c r="G2" s="9"/>
      <c r="H2" s="3"/>
    </row>
    <row r="3" spans="1:14" x14ac:dyDescent="0.3">
      <c r="B3" s="10" t="s">
        <v>2</v>
      </c>
      <c r="C3" s="11">
        <v>12500</v>
      </c>
      <c r="D3" s="11">
        <v>4513</v>
      </c>
      <c r="E3" s="12"/>
      <c r="F3" s="13"/>
      <c r="G3" s="14"/>
      <c r="H3" s="3"/>
    </row>
    <row r="4" spans="1:14" x14ac:dyDescent="0.3">
      <c r="B4" s="15" t="s">
        <v>3</v>
      </c>
      <c r="C4" s="16">
        <f>ROUND((C2*C3),0)</f>
        <v>39125000</v>
      </c>
      <c r="D4" s="17">
        <f>D3*C2</f>
        <v>14125690</v>
      </c>
      <c r="E4" s="18"/>
      <c r="F4" s="18"/>
      <c r="G4" s="18"/>
    </row>
    <row r="5" spans="1:14" x14ac:dyDescent="0.3">
      <c r="B5" s="19"/>
      <c r="C5" s="20"/>
      <c r="D5" s="21"/>
      <c r="E5" s="18"/>
      <c r="F5" s="18"/>
      <c r="G5" s="18"/>
    </row>
    <row r="6" spans="1:14" x14ac:dyDescent="0.3">
      <c r="B6" s="2" t="s">
        <v>4</v>
      </c>
    </row>
    <row r="7" spans="1:14" s="22" customFormat="1" ht="60" x14ac:dyDescent="0.2"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23" t="s">
        <v>10</v>
      </c>
      <c r="H7" s="8" t="s">
        <v>11</v>
      </c>
      <c r="I7" s="23" t="s">
        <v>12</v>
      </c>
      <c r="J7" s="23" t="s">
        <v>13</v>
      </c>
      <c r="K7" s="8" t="s">
        <v>14</v>
      </c>
      <c r="L7" s="8" t="s">
        <v>15</v>
      </c>
      <c r="M7" s="8" t="s">
        <v>16</v>
      </c>
    </row>
    <row r="8" spans="1:14" x14ac:dyDescent="0.3">
      <c r="B8" s="24" t="s">
        <v>17</v>
      </c>
      <c r="C8" s="71"/>
      <c r="D8" s="25"/>
      <c r="E8" s="25"/>
      <c r="F8" s="25"/>
      <c r="G8" s="26"/>
      <c r="H8" s="27"/>
      <c r="I8" s="27"/>
      <c r="J8" s="28"/>
      <c r="K8" s="28"/>
      <c r="L8" s="28"/>
      <c r="M8" s="28"/>
    </row>
    <row r="9" spans="1:14" x14ac:dyDescent="0.3">
      <c r="A9" s="22"/>
      <c r="B9" s="29" t="s">
        <v>31</v>
      </c>
      <c r="C9" s="72"/>
      <c r="D9" s="25"/>
      <c r="E9" s="25"/>
      <c r="F9" s="25"/>
      <c r="G9" s="26"/>
      <c r="H9" s="76"/>
      <c r="I9" s="76"/>
      <c r="J9" s="11">
        <f>G9/100*I9</f>
        <v>0</v>
      </c>
      <c r="K9" s="11">
        <f t="shared" ref="K9:K13" si="0">ROUND((G9-J9),0)</f>
        <v>0</v>
      </c>
      <c r="L9" s="11">
        <f>ROUND((K9*C9),0)</f>
        <v>0</v>
      </c>
      <c r="M9" s="11">
        <f>ROUND((C9*G9),0)</f>
        <v>0</v>
      </c>
    </row>
    <row r="10" spans="1:14" x14ac:dyDescent="0.3">
      <c r="A10" s="22"/>
      <c r="B10" s="30" t="s">
        <v>32</v>
      </c>
      <c r="C10" s="72">
        <v>188.74</v>
      </c>
      <c r="D10" s="25">
        <v>1998</v>
      </c>
      <c r="E10" s="25">
        <v>2025</v>
      </c>
      <c r="F10" s="25">
        <v>60</v>
      </c>
      <c r="G10" s="26">
        <v>20000</v>
      </c>
      <c r="H10" s="76">
        <f>E10-D10</f>
        <v>27</v>
      </c>
      <c r="I10" s="76">
        <f t="shared" ref="I10:I13" si="1">IF(H10&gt;=5,90*H10/F10,0)</f>
        <v>40.5</v>
      </c>
      <c r="J10" s="11">
        <f t="shared" ref="J10:J13" si="2">G10/100*I10</f>
        <v>8100</v>
      </c>
      <c r="K10" s="11">
        <f t="shared" si="0"/>
        <v>11900</v>
      </c>
      <c r="L10" s="11">
        <f>ROUND((K10*C10),0)</f>
        <v>2246006</v>
      </c>
      <c r="M10" s="11">
        <f t="shared" ref="M10:M13" si="3">ROUND((C10*G10),0)</f>
        <v>3774800</v>
      </c>
      <c r="N10" s="31"/>
    </row>
    <row r="11" spans="1:14" ht="16.5" customHeight="1" x14ac:dyDescent="0.3">
      <c r="A11" s="22"/>
      <c r="B11" s="30" t="s">
        <v>38</v>
      </c>
      <c r="C11" s="72">
        <v>1063.1500000000001</v>
      </c>
      <c r="D11" s="25">
        <v>1998</v>
      </c>
      <c r="E11" s="25">
        <v>2025</v>
      </c>
      <c r="F11" s="25">
        <v>60</v>
      </c>
      <c r="G11" s="26">
        <v>22000</v>
      </c>
      <c r="H11" s="76">
        <f>E11-D11</f>
        <v>27</v>
      </c>
      <c r="I11" s="76">
        <f>IF(H11&gt;=5,90*H11/F11,0)</f>
        <v>40.5</v>
      </c>
      <c r="J11" s="11">
        <f>G11/100*I11</f>
        <v>8910</v>
      </c>
      <c r="K11" s="11">
        <f>ROUND((G11-J11),0)</f>
        <v>13090</v>
      </c>
      <c r="L11" s="11">
        <f>ROUND((K11*C11),0)</f>
        <v>13916634</v>
      </c>
      <c r="M11" s="11">
        <f>ROUND((C11*G11),0)</f>
        <v>23389300</v>
      </c>
      <c r="N11" s="31"/>
    </row>
    <row r="12" spans="1:14" x14ac:dyDescent="0.3">
      <c r="B12" s="30" t="s">
        <v>33</v>
      </c>
      <c r="C12" s="72">
        <v>188.74</v>
      </c>
      <c r="D12" s="25">
        <v>1998</v>
      </c>
      <c r="E12" s="25">
        <v>2025</v>
      </c>
      <c r="F12" s="25">
        <v>60</v>
      </c>
      <c r="G12" s="26">
        <v>15000</v>
      </c>
      <c r="H12" s="76">
        <f t="shared" ref="H12:H13" si="4">E12-D12</f>
        <v>27</v>
      </c>
      <c r="I12" s="76">
        <f t="shared" si="1"/>
        <v>40.5</v>
      </c>
      <c r="J12" s="11">
        <f t="shared" si="2"/>
        <v>6075</v>
      </c>
      <c r="K12" s="11">
        <f t="shared" si="0"/>
        <v>8925</v>
      </c>
      <c r="L12" s="11">
        <f t="shared" ref="L12:L13" si="5">ROUND((K12*C12),0)</f>
        <v>1684505</v>
      </c>
      <c r="M12" s="11">
        <f t="shared" si="3"/>
        <v>2831100</v>
      </c>
      <c r="N12" s="31"/>
    </row>
    <row r="13" spans="1:14" x14ac:dyDescent="0.3">
      <c r="B13" s="32" t="s">
        <v>34</v>
      </c>
      <c r="C13" s="73">
        <v>372.46</v>
      </c>
      <c r="D13" s="25">
        <v>1998</v>
      </c>
      <c r="E13" s="25">
        <v>2025</v>
      </c>
      <c r="F13" s="25">
        <v>60</v>
      </c>
      <c r="G13" s="26">
        <v>15000</v>
      </c>
      <c r="H13" s="76">
        <f t="shared" si="4"/>
        <v>27</v>
      </c>
      <c r="I13" s="76">
        <f t="shared" si="1"/>
        <v>40.5</v>
      </c>
      <c r="J13" s="11">
        <f t="shared" si="2"/>
        <v>6075</v>
      </c>
      <c r="K13" s="11">
        <f t="shared" si="0"/>
        <v>8925</v>
      </c>
      <c r="L13" s="11">
        <f t="shared" si="5"/>
        <v>3324206</v>
      </c>
      <c r="M13" s="11">
        <f t="shared" si="3"/>
        <v>5586900</v>
      </c>
      <c r="N13" s="31"/>
    </row>
    <row r="14" spans="1:14" x14ac:dyDescent="0.3">
      <c r="B14" s="70" t="s">
        <v>35</v>
      </c>
      <c r="C14" s="73">
        <f>11391/10.764</f>
        <v>1058.2497212931996</v>
      </c>
      <c r="D14" s="25">
        <v>1998</v>
      </c>
      <c r="E14" s="25">
        <v>2025</v>
      </c>
      <c r="F14" s="25">
        <v>50</v>
      </c>
      <c r="G14" s="26">
        <v>11000</v>
      </c>
      <c r="H14" s="76">
        <f t="shared" ref="H14:H18" si="6">E14-D14</f>
        <v>27</v>
      </c>
      <c r="I14" s="76">
        <f t="shared" ref="I14:I18" si="7">IF(H14&gt;=5,90*H14/F14,0)</f>
        <v>48.6</v>
      </c>
      <c r="J14" s="11">
        <f t="shared" ref="J14:J18" si="8">G14/100*I14</f>
        <v>5346</v>
      </c>
      <c r="K14" s="11">
        <f t="shared" ref="K14:K18" si="9">ROUND((G14-J14),0)</f>
        <v>5654</v>
      </c>
      <c r="L14" s="11">
        <f t="shared" ref="L14:L18" si="10">ROUND((K14*C14),0)</f>
        <v>5983344</v>
      </c>
      <c r="M14" s="11">
        <f t="shared" ref="M14:M18" si="11">ROUND((C14*G14),0)</f>
        <v>11640747</v>
      </c>
      <c r="N14" s="31"/>
    </row>
    <row r="15" spans="1:14" x14ac:dyDescent="0.3">
      <c r="B15" s="32" t="s">
        <v>41</v>
      </c>
      <c r="C15" s="73">
        <f>1140/10.764</f>
        <v>105.90858416945375</v>
      </c>
      <c r="D15" s="25">
        <v>1998</v>
      </c>
      <c r="E15" s="25">
        <v>2025</v>
      </c>
      <c r="F15" s="25">
        <v>50</v>
      </c>
      <c r="G15" s="26">
        <v>11000</v>
      </c>
      <c r="H15" s="76">
        <f t="shared" si="6"/>
        <v>27</v>
      </c>
      <c r="I15" s="76">
        <f t="shared" si="7"/>
        <v>48.6</v>
      </c>
      <c r="J15" s="11">
        <f t="shared" si="8"/>
        <v>5346</v>
      </c>
      <c r="K15" s="11">
        <f t="shared" si="9"/>
        <v>5654</v>
      </c>
      <c r="L15" s="11">
        <f t="shared" si="10"/>
        <v>598807</v>
      </c>
      <c r="M15" s="11">
        <f t="shared" si="11"/>
        <v>1164994</v>
      </c>
      <c r="N15" s="31"/>
    </row>
    <row r="16" spans="1:14" x14ac:dyDescent="0.3">
      <c r="B16" s="32" t="s">
        <v>42</v>
      </c>
      <c r="C16" s="73">
        <f>1252/10.764</f>
        <v>116.3136380527685</v>
      </c>
      <c r="D16" s="25">
        <v>1998</v>
      </c>
      <c r="E16" s="25">
        <v>2025</v>
      </c>
      <c r="F16" s="25">
        <v>50</v>
      </c>
      <c r="G16" s="26">
        <v>11000</v>
      </c>
      <c r="H16" s="76">
        <f t="shared" si="6"/>
        <v>27</v>
      </c>
      <c r="I16" s="76">
        <f t="shared" si="7"/>
        <v>48.6</v>
      </c>
      <c r="J16" s="11">
        <f t="shared" si="8"/>
        <v>5346</v>
      </c>
      <c r="K16" s="11">
        <f t="shared" si="9"/>
        <v>5654</v>
      </c>
      <c r="L16" s="11">
        <f t="shared" si="10"/>
        <v>657637</v>
      </c>
      <c r="M16" s="11">
        <f t="shared" si="11"/>
        <v>1279450</v>
      </c>
      <c r="N16" s="31"/>
    </row>
    <row r="17" spans="2:14" x14ac:dyDescent="0.3">
      <c r="B17" s="32" t="s">
        <v>36</v>
      </c>
      <c r="C17" s="73">
        <f>154/10.764</f>
        <v>14.306949089557786</v>
      </c>
      <c r="D17" s="25">
        <v>1998</v>
      </c>
      <c r="E17" s="25">
        <v>2025</v>
      </c>
      <c r="F17" s="25">
        <v>60</v>
      </c>
      <c r="G17" s="26">
        <v>12000</v>
      </c>
      <c r="H17" s="76">
        <f t="shared" si="6"/>
        <v>27</v>
      </c>
      <c r="I17" s="76">
        <f t="shared" si="7"/>
        <v>40.5</v>
      </c>
      <c r="J17" s="11">
        <f t="shared" si="8"/>
        <v>4860</v>
      </c>
      <c r="K17" s="11">
        <f t="shared" si="9"/>
        <v>7140</v>
      </c>
      <c r="L17" s="11">
        <f t="shared" si="10"/>
        <v>102152</v>
      </c>
      <c r="M17" s="11">
        <f t="shared" si="11"/>
        <v>171683</v>
      </c>
      <c r="N17" s="31"/>
    </row>
    <row r="18" spans="2:14" x14ac:dyDescent="0.3">
      <c r="B18" s="32" t="s">
        <v>37</v>
      </c>
      <c r="C18" s="73">
        <f>152/10.764</f>
        <v>14.121144555927165</v>
      </c>
      <c r="D18" s="25">
        <v>1998</v>
      </c>
      <c r="E18" s="25">
        <v>2025</v>
      </c>
      <c r="F18" s="25">
        <v>60</v>
      </c>
      <c r="G18" s="26">
        <v>12000</v>
      </c>
      <c r="H18" s="76">
        <f t="shared" si="6"/>
        <v>27</v>
      </c>
      <c r="I18" s="76">
        <f t="shared" si="7"/>
        <v>40.5</v>
      </c>
      <c r="J18" s="11">
        <f t="shared" si="8"/>
        <v>4860</v>
      </c>
      <c r="K18" s="11">
        <f t="shared" si="9"/>
        <v>7140</v>
      </c>
      <c r="L18" s="11">
        <f t="shared" si="10"/>
        <v>100825</v>
      </c>
      <c r="M18" s="11">
        <f t="shared" si="11"/>
        <v>169454</v>
      </c>
      <c r="N18" s="31"/>
    </row>
    <row r="19" spans="2:14" x14ac:dyDescent="0.3">
      <c r="B19" s="32"/>
      <c r="C19" s="74">
        <f>SUM(C10:C18)</f>
        <v>3121.9900371609065</v>
      </c>
      <c r="D19" s="25"/>
      <c r="E19" s="25"/>
      <c r="F19" s="25"/>
      <c r="G19" s="33"/>
      <c r="H19" s="27"/>
      <c r="I19" s="27"/>
      <c r="J19" s="28"/>
      <c r="K19" s="28">
        <f>SUM(K8:K13)</f>
        <v>42840</v>
      </c>
      <c r="L19" s="28">
        <f>SUM(L8:L13)</f>
        <v>21171351</v>
      </c>
      <c r="M19" s="28">
        <f>SUM(M8:M13)</f>
        <v>35582100</v>
      </c>
      <c r="N19" s="31"/>
    </row>
    <row r="20" spans="2:14" x14ac:dyDescent="0.3">
      <c r="B20" s="32"/>
      <c r="C20" s="73"/>
      <c r="D20" s="25"/>
      <c r="E20" s="25"/>
      <c r="F20" s="25"/>
      <c r="G20" s="33"/>
      <c r="H20" s="34"/>
      <c r="I20" s="34"/>
      <c r="J20" s="14"/>
      <c r="K20" s="14"/>
      <c r="L20" s="14"/>
      <c r="M20" s="14"/>
      <c r="N20" s="31"/>
    </row>
    <row r="21" spans="2:14" x14ac:dyDescent="0.3">
      <c r="B21" s="35"/>
      <c r="C21" s="38"/>
      <c r="D21" s="38"/>
      <c r="E21" s="39"/>
      <c r="F21" s="39"/>
      <c r="G21" s="36"/>
      <c r="H21" s="31"/>
      <c r="I21" s="38"/>
      <c r="J21" s="37"/>
      <c r="K21" s="40"/>
      <c r="L21" s="41"/>
      <c r="M21" s="41"/>
      <c r="N21" s="31"/>
    </row>
    <row r="22" spans="2:14" x14ac:dyDescent="0.3">
      <c r="B22" s="83" t="s">
        <v>18</v>
      </c>
      <c r="C22" s="83"/>
      <c r="D22" s="38"/>
      <c r="E22" s="39"/>
      <c r="F22" s="39"/>
      <c r="G22" s="41"/>
      <c r="H22" s="31"/>
      <c r="I22" s="38"/>
      <c r="J22" s="37"/>
      <c r="K22" s="40"/>
      <c r="L22" s="41"/>
      <c r="M22" s="41"/>
      <c r="N22" s="31"/>
    </row>
    <row r="23" spans="2:14" x14ac:dyDescent="0.3">
      <c r="B23" s="5" t="s">
        <v>19</v>
      </c>
      <c r="C23" s="42">
        <v>0</v>
      </c>
      <c r="D23" s="38"/>
      <c r="E23" s="39"/>
      <c r="F23" s="39"/>
      <c r="G23" s="39"/>
      <c r="H23" s="31"/>
      <c r="I23" s="38"/>
      <c r="J23" s="37"/>
      <c r="K23" s="40"/>
      <c r="L23" s="41"/>
      <c r="M23" s="41"/>
      <c r="N23" s="31"/>
    </row>
    <row r="24" spans="2:14" x14ac:dyDescent="0.3">
      <c r="B24" s="43" t="s">
        <v>2</v>
      </c>
      <c r="C24" s="11">
        <v>0</v>
      </c>
      <c r="D24" s="38"/>
      <c r="E24" s="39"/>
      <c r="F24" s="39"/>
      <c r="G24" s="39"/>
      <c r="H24" s="31"/>
      <c r="I24" s="38"/>
      <c r="J24" s="37"/>
      <c r="K24" s="40"/>
      <c r="L24" s="41"/>
      <c r="M24" s="41"/>
      <c r="N24" s="31"/>
    </row>
    <row r="25" spans="2:14" x14ac:dyDescent="0.3">
      <c r="B25" s="43" t="s">
        <v>20</v>
      </c>
      <c r="C25" s="44">
        <f>ROUND((C23*C24),0)</f>
        <v>0</v>
      </c>
      <c r="D25" s="38"/>
      <c r="E25" s="39"/>
      <c r="F25" s="39"/>
      <c r="G25" s="39"/>
      <c r="H25" s="31"/>
      <c r="I25" s="38"/>
      <c r="J25" s="37"/>
      <c r="K25" s="40"/>
      <c r="L25" s="41"/>
      <c r="M25" s="41"/>
      <c r="N25" s="31"/>
    </row>
    <row r="26" spans="2:14" x14ac:dyDescent="0.3">
      <c r="B26" s="35"/>
      <c r="C26" s="38"/>
      <c r="D26" s="38"/>
      <c r="E26" s="39"/>
      <c r="F26" s="39"/>
      <c r="G26" s="39"/>
      <c r="H26" s="31"/>
      <c r="I26" s="38"/>
      <c r="J26" s="37"/>
      <c r="K26" s="40"/>
      <c r="L26" s="41"/>
      <c r="M26" s="41"/>
      <c r="N26" s="31"/>
    </row>
    <row r="27" spans="2:14" ht="22.5" customHeight="1" x14ac:dyDescent="0.3">
      <c r="B27" s="84" t="s">
        <v>21</v>
      </c>
      <c r="C27" s="85"/>
      <c r="D27" s="38"/>
      <c r="E27" s="39"/>
      <c r="F27" s="39"/>
      <c r="G27" s="39"/>
      <c r="H27" s="31"/>
      <c r="I27" s="38"/>
      <c r="J27" s="31"/>
      <c r="K27" s="38"/>
      <c r="L27" s="31"/>
      <c r="M27" s="31"/>
      <c r="N27" s="31"/>
    </row>
    <row r="28" spans="2:14" x14ac:dyDescent="0.3">
      <c r="B28" s="5" t="s">
        <v>22</v>
      </c>
      <c r="C28" s="42">
        <v>1251.8900000000001</v>
      </c>
      <c r="E28" s="45"/>
      <c r="F28" s="45"/>
      <c r="G28" s="46"/>
      <c r="H28" s="47"/>
      <c r="K28" s="48"/>
    </row>
    <row r="29" spans="2:14" x14ac:dyDescent="0.3">
      <c r="B29" s="43" t="s">
        <v>2</v>
      </c>
      <c r="C29" s="11">
        <v>1000</v>
      </c>
      <c r="D29" s="49"/>
      <c r="E29" s="18"/>
      <c r="F29" s="18"/>
      <c r="G29" s="41"/>
      <c r="H29" s="47"/>
      <c r="K29" s="48"/>
    </row>
    <row r="30" spans="2:14" x14ac:dyDescent="0.3">
      <c r="B30" s="43" t="s">
        <v>20</v>
      </c>
      <c r="C30" s="44">
        <v>2000000</v>
      </c>
      <c r="D30" s="50"/>
      <c r="E30" s="51"/>
      <c r="F30" s="52"/>
      <c r="G30" s="53"/>
      <c r="H30" s="47"/>
      <c r="K30" s="48"/>
    </row>
    <row r="31" spans="2:14" x14ac:dyDescent="0.3">
      <c r="B31" s="1"/>
      <c r="C31" s="53"/>
      <c r="D31" s="50"/>
      <c r="E31" s="51"/>
      <c r="F31" s="52"/>
      <c r="G31" s="18"/>
      <c r="H31" s="47"/>
      <c r="K31" s="48"/>
    </row>
    <row r="32" spans="2:14" x14ac:dyDescent="0.3">
      <c r="C32" s="51" t="s">
        <v>23</v>
      </c>
      <c r="D32" s="77" t="s">
        <v>24</v>
      </c>
      <c r="E32" s="51"/>
      <c r="F32" s="52"/>
      <c r="G32" s="18"/>
      <c r="H32" s="47"/>
      <c r="K32" s="48"/>
    </row>
    <row r="33" spans="2:13" x14ac:dyDescent="0.3">
      <c r="B33" s="54" t="s">
        <v>0</v>
      </c>
      <c r="C33" s="53">
        <f>C4</f>
        <v>39125000</v>
      </c>
      <c r="D33" s="78">
        <v>34400000</v>
      </c>
      <c r="E33" s="55"/>
      <c r="F33" s="55"/>
      <c r="G33" s="55"/>
      <c r="H33" s="56"/>
      <c r="K33" s="57"/>
    </row>
    <row r="34" spans="2:13" x14ac:dyDescent="0.3">
      <c r="B34" s="54" t="s">
        <v>4</v>
      </c>
      <c r="C34" s="53">
        <f>L19</f>
        <v>21171351</v>
      </c>
      <c r="D34" s="78">
        <v>27800000</v>
      </c>
      <c r="E34" s="55"/>
      <c r="F34" s="55"/>
      <c r="G34" s="55"/>
      <c r="H34" s="56"/>
      <c r="K34" s="56"/>
    </row>
    <row r="35" spans="2:13" ht="21" customHeight="1" x14ac:dyDescent="0.3">
      <c r="B35" s="54" t="s">
        <v>44</v>
      </c>
      <c r="C35" s="53">
        <f>C25</f>
        <v>0</v>
      </c>
      <c r="D35" s="78">
        <f>C35</f>
        <v>0</v>
      </c>
      <c r="E35" s="55"/>
      <c r="F35" s="55"/>
      <c r="G35" s="55"/>
      <c r="H35" s="56"/>
      <c r="K35" s="56"/>
    </row>
    <row r="36" spans="2:13" x14ac:dyDescent="0.3">
      <c r="B36" s="54" t="s">
        <v>25</v>
      </c>
      <c r="C36" s="53">
        <f>C30</f>
        <v>2000000</v>
      </c>
      <c r="D36" s="78">
        <v>1600000</v>
      </c>
      <c r="E36" s="55"/>
      <c r="F36" s="55"/>
      <c r="G36" s="55"/>
      <c r="H36" s="56"/>
      <c r="K36" s="56"/>
    </row>
    <row r="37" spans="2:13" x14ac:dyDescent="0.3">
      <c r="B37" s="2" t="s">
        <v>26</v>
      </c>
      <c r="C37" s="20">
        <f>C33+C34+C35+C36</f>
        <v>62296351</v>
      </c>
      <c r="D37" s="78">
        <f>SUM(D33:D36)</f>
        <v>63800000</v>
      </c>
      <c r="E37" s="4"/>
      <c r="F37" s="57"/>
    </row>
    <row r="38" spans="2:13" x14ac:dyDescent="0.3">
      <c r="B38" s="2" t="s">
        <v>27</v>
      </c>
      <c r="C38" s="20">
        <f>ROUND((C37*0.9),0)</f>
        <v>56066716</v>
      </c>
      <c r="D38" s="79">
        <f>ROUND((D37*0.9),0)</f>
        <v>57420000</v>
      </c>
      <c r="E38" s="4"/>
      <c r="F38" s="57"/>
      <c r="H38" s="58"/>
    </row>
    <row r="39" spans="2:13" hidden="1" x14ac:dyDescent="0.3">
      <c r="B39" s="59" t="s">
        <v>20</v>
      </c>
      <c r="C39" s="53">
        <f>C37*0.8</f>
        <v>49837080.800000004</v>
      </c>
      <c r="D39" s="80"/>
      <c r="E39" s="4"/>
      <c r="F39" s="57"/>
    </row>
    <row r="40" spans="2:13" hidden="1" x14ac:dyDescent="0.3">
      <c r="B40" s="61"/>
      <c r="C40" s="53">
        <f>ROUNDUP(C39,0)</f>
        <v>49837081</v>
      </c>
      <c r="D40" s="80"/>
      <c r="E40" s="4"/>
      <c r="F40" s="57"/>
    </row>
    <row r="41" spans="2:13" hidden="1" x14ac:dyDescent="0.3">
      <c r="B41" s="61"/>
      <c r="C41" s="53">
        <f>C40-C39</f>
        <v>0.19999999552965164</v>
      </c>
      <c r="D41" s="80"/>
      <c r="E41" s="4"/>
      <c r="F41" s="57"/>
    </row>
    <row r="42" spans="2:13" x14ac:dyDescent="0.3">
      <c r="B42" s="2" t="s">
        <v>28</v>
      </c>
      <c r="C42" s="20">
        <f>ROUND((C37*0.8),0)</f>
        <v>49837081</v>
      </c>
      <c r="D42" s="79">
        <f>ROUND((D37*0.8),0)</f>
        <v>51040000</v>
      </c>
      <c r="E42" s="4"/>
      <c r="F42" s="57"/>
      <c r="H42" s="58"/>
    </row>
    <row r="43" spans="2:13" hidden="1" x14ac:dyDescent="0.3">
      <c r="B43" s="4" t="s">
        <v>20</v>
      </c>
      <c r="C43" s="20" t="e">
        <f>#REF!</f>
        <v>#REF!</v>
      </c>
      <c r="D43" s="80"/>
      <c r="E43" s="4"/>
      <c r="F43" s="57"/>
    </row>
    <row r="44" spans="2:13" hidden="1" x14ac:dyDescent="0.3">
      <c r="B44" s="59"/>
      <c r="C44" s="53" t="e">
        <f>ROUNDUP(C43,0)</f>
        <v>#REF!</v>
      </c>
      <c r="D44" s="80"/>
      <c r="E44" s="4"/>
    </row>
    <row r="45" spans="2:13" hidden="1" x14ac:dyDescent="0.3">
      <c r="B45" s="59"/>
      <c r="C45" s="53" t="e">
        <f>C44-C43</f>
        <v>#REF!</v>
      </c>
      <c r="D45" s="80"/>
      <c r="E45" s="4"/>
    </row>
    <row r="46" spans="2:13" x14ac:dyDescent="0.3">
      <c r="B46" s="2" t="s">
        <v>29</v>
      </c>
      <c r="C46" s="20">
        <f>M19*85%</f>
        <v>30244785</v>
      </c>
      <c r="D46" s="81">
        <v>34400000</v>
      </c>
      <c r="E46" s="4"/>
      <c r="M46" s="62"/>
    </row>
    <row r="47" spans="2:13" x14ac:dyDescent="0.3">
      <c r="B47" s="54" t="s">
        <v>30</v>
      </c>
      <c r="C47" s="63">
        <f>D4+C34</f>
        <v>35297041</v>
      </c>
      <c r="D47" s="81">
        <f>5753*3895</f>
        <v>22407935</v>
      </c>
      <c r="E47" s="4"/>
      <c r="M47" s="62"/>
    </row>
    <row r="48" spans="2:13" x14ac:dyDescent="0.3">
      <c r="D48" s="82"/>
      <c r="E48" s="4"/>
      <c r="F48" s="18"/>
      <c r="G48" s="18"/>
      <c r="H48" s="18"/>
      <c r="M48" s="62"/>
    </row>
    <row r="49" spans="4:13" x14ac:dyDescent="0.3">
      <c r="D49" s="82"/>
      <c r="E49" s="4"/>
      <c r="F49" s="18"/>
      <c r="G49" s="18"/>
      <c r="H49" s="18"/>
      <c r="K49" s="64"/>
      <c r="M49" s="62"/>
    </row>
    <row r="50" spans="4:13" x14ac:dyDescent="0.3">
      <c r="D50" s="82"/>
      <c r="E50" s="4"/>
      <c r="H50" s="18"/>
      <c r="K50" s="64"/>
      <c r="M50" s="62"/>
    </row>
    <row r="51" spans="4:13" x14ac:dyDescent="0.3">
      <c r="D51" s="4"/>
      <c r="E51" s="4"/>
      <c r="H51" s="60"/>
      <c r="K51" s="64"/>
      <c r="M51" s="62"/>
    </row>
    <row r="52" spans="4:13" x14ac:dyDescent="0.3">
      <c r="D52" s="4"/>
      <c r="E52" s="4"/>
      <c r="H52" s="18"/>
      <c r="K52" s="64"/>
      <c r="M52" s="62"/>
    </row>
    <row r="53" spans="4:13" x14ac:dyDescent="0.3">
      <c r="D53" s="4"/>
      <c r="E53" s="4"/>
      <c r="H53" s="18"/>
      <c r="K53" s="64"/>
      <c r="M53" s="62"/>
    </row>
    <row r="54" spans="4:13" x14ac:dyDescent="0.3">
      <c r="D54" s="4"/>
      <c r="E54" s="4"/>
      <c r="H54" s="18"/>
      <c r="K54" s="64"/>
      <c r="M54" s="62"/>
    </row>
    <row r="55" spans="4:13" x14ac:dyDescent="0.3">
      <c r="E55" s="18"/>
      <c r="F55" s="18"/>
      <c r="G55" s="18"/>
      <c r="H55" s="18"/>
      <c r="K55" s="64"/>
      <c r="M55" s="62"/>
    </row>
    <row r="56" spans="4:13" x14ac:dyDescent="0.3">
      <c r="E56" s="18"/>
      <c r="F56" s="18"/>
      <c r="G56" s="18"/>
      <c r="H56" s="18"/>
    </row>
    <row r="57" spans="4:13" x14ac:dyDescent="0.3">
      <c r="E57" s="18"/>
      <c r="F57" s="18"/>
      <c r="G57" s="18"/>
      <c r="H57" s="18"/>
    </row>
    <row r="67" spans="6:9" x14ac:dyDescent="0.3">
      <c r="F67" s="65"/>
      <c r="G67" s="65"/>
      <c r="H67" s="65"/>
      <c r="I67" s="2"/>
    </row>
    <row r="68" spans="6:9" x14ac:dyDescent="0.3">
      <c r="F68" s="62"/>
      <c r="G68" s="3"/>
      <c r="H68" s="62"/>
    </row>
    <row r="69" spans="6:9" x14ac:dyDescent="0.3">
      <c r="F69" s="62"/>
      <c r="G69" s="62"/>
      <c r="H69" s="66"/>
    </row>
    <row r="70" spans="6:9" x14ac:dyDescent="0.3">
      <c r="F70" s="62"/>
      <c r="G70" s="62"/>
      <c r="H70" s="62"/>
    </row>
    <row r="71" spans="6:9" x14ac:dyDescent="0.3">
      <c r="F71" s="62"/>
      <c r="G71" s="67"/>
      <c r="H71" s="62"/>
    </row>
    <row r="72" spans="6:9" x14ac:dyDescent="0.3">
      <c r="F72" s="62"/>
      <c r="G72" s="62"/>
      <c r="H72" s="62"/>
    </row>
    <row r="73" spans="6:9" x14ac:dyDescent="0.3">
      <c r="F73" s="62"/>
      <c r="G73" s="62"/>
      <c r="H73" s="62"/>
    </row>
    <row r="74" spans="6:9" x14ac:dyDescent="0.3">
      <c r="F74" s="62"/>
      <c r="G74" s="62"/>
      <c r="H74" s="62"/>
    </row>
    <row r="75" spans="6:9" x14ac:dyDescent="0.3">
      <c r="F75" s="62"/>
      <c r="G75" s="62"/>
      <c r="H75" s="62"/>
    </row>
    <row r="76" spans="6:9" x14ac:dyDescent="0.3">
      <c r="F76" s="62"/>
      <c r="G76" s="62"/>
      <c r="H76" s="62"/>
    </row>
    <row r="77" spans="6:9" x14ac:dyDescent="0.3">
      <c r="F77" s="62"/>
      <c r="G77" s="62"/>
      <c r="H77" s="62"/>
    </row>
    <row r="83" spans="6:6" x14ac:dyDescent="0.3">
      <c r="F83" s="68"/>
    </row>
    <row r="84" spans="6:6" x14ac:dyDescent="0.3">
      <c r="F84" s="68"/>
    </row>
    <row r="85" spans="6:6" x14ac:dyDescent="0.3">
      <c r="F85" s="68"/>
    </row>
    <row r="86" spans="6:6" x14ac:dyDescent="0.3">
      <c r="F86" s="68"/>
    </row>
    <row r="87" spans="6:6" x14ac:dyDescent="0.3">
      <c r="F87" s="68"/>
    </row>
    <row r="88" spans="6:6" x14ac:dyDescent="0.3">
      <c r="F88" s="68"/>
    </row>
    <row r="89" spans="6:6" x14ac:dyDescent="0.3">
      <c r="F89" s="68"/>
    </row>
    <row r="90" spans="6:6" x14ac:dyDescent="0.3">
      <c r="F90" s="68"/>
    </row>
    <row r="91" spans="6:6" x14ac:dyDescent="0.3">
      <c r="F91" s="68"/>
    </row>
    <row r="92" spans="6:6" x14ac:dyDescent="0.3">
      <c r="F92" s="68"/>
    </row>
  </sheetData>
  <mergeCells count="2">
    <mergeCell ref="B22:C22"/>
    <mergeCell ref="B27:C27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B5BED-8E0A-4A9A-8EA6-9654B5D012D5}">
  <dimension ref="L14:Y15"/>
  <sheetViews>
    <sheetView workbookViewId="0">
      <selection activeCell="AA23" sqref="AA23"/>
    </sheetView>
  </sheetViews>
  <sheetFormatPr defaultRowHeight="15" x14ac:dyDescent="0.25"/>
  <cols>
    <col min="11" max="11" width="3" customWidth="1"/>
    <col min="12" max="12" width="11.5703125" customWidth="1"/>
  </cols>
  <sheetData>
    <row r="14" spans="12:25" x14ac:dyDescent="0.25">
      <c r="X14">
        <f>62400000/5200</f>
        <v>12000</v>
      </c>
      <c r="Y14" t="s">
        <v>43</v>
      </c>
    </row>
    <row r="15" spans="12:25" x14ac:dyDescent="0.25">
      <c r="L15">
        <f>120000000/12000</f>
        <v>10000</v>
      </c>
      <c r="M15" t="s">
        <v>43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B8BA-52AE-45A7-BFA4-27991510FF10}">
  <dimension ref="A1"/>
  <sheetViews>
    <sheetView workbookViewId="0">
      <selection activeCell="S35" sqref="S3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Leebo Metals</vt:lpstr>
      <vt:lpstr>Sheet1</vt:lpstr>
      <vt:lpstr>Location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116-PC</dc:creator>
  <cp:lastModifiedBy>DESK-28 VASTUKALA</cp:lastModifiedBy>
  <dcterms:created xsi:type="dcterms:W3CDTF">2015-06-05T18:17:20Z</dcterms:created>
  <dcterms:modified xsi:type="dcterms:W3CDTF">2025-01-06T12:41:22Z</dcterms:modified>
</cp:coreProperties>
</file>