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8" i="1" l="1"/>
  <c r="J57" i="1"/>
  <c r="J68" i="1"/>
  <c r="J65" i="1"/>
  <c r="J10" i="1"/>
  <c r="J56" i="1"/>
  <c r="H56" i="1"/>
  <c r="H51" i="1"/>
  <c r="H44" i="1"/>
  <c r="H54" i="1"/>
  <c r="H47" i="1"/>
  <c r="H42" i="1"/>
  <c r="H43" i="1" s="1"/>
  <c r="H48" i="1" l="1"/>
  <c r="H49" i="1" s="1"/>
  <c r="H59" i="1" l="1"/>
  <c r="L13" i="1" l="1"/>
  <c r="J11" i="1"/>
  <c r="J18" i="1"/>
  <c r="I18" i="1"/>
  <c r="I16" i="1"/>
  <c r="I15" i="1"/>
  <c r="C7" i="1"/>
  <c r="I11" i="1"/>
  <c r="B19" i="1" l="1"/>
  <c r="B18" i="1"/>
  <c r="E37" i="1" l="1"/>
  <c r="C37" i="1"/>
  <c r="A37" i="1"/>
  <c r="B37" i="1"/>
  <c r="D37" i="1"/>
  <c r="E36" i="1"/>
  <c r="C36" i="1"/>
  <c r="B36" i="1"/>
  <c r="A36" i="1"/>
  <c r="D36" i="1"/>
  <c r="B35" i="1"/>
  <c r="E35" i="1" s="1"/>
  <c r="A35" i="1"/>
  <c r="D35" i="1"/>
  <c r="C35" i="1" l="1"/>
  <c r="A34" i="1"/>
  <c r="D34" i="1" s="1"/>
  <c r="E34" i="1" s="1"/>
  <c r="B33" i="1"/>
  <c r="C28" i="1"/>
  <c r="B20" i="1" l="1"/>
  <c r="D33" i="1"/>
  <c r="C34" i="1" l="1"/>
  <c r="H27" i="1" l="1"/>
  <c r="I29" i="1"/>
  <c r="E33" i="1" l="1"/>
  <c r="H29" i="1"/>
  <c r="G29" i="1"/>
  <c r="F29" i="1" l="1"/>
  <c r="H30" i="1" l="1"/>
  <c r="H28" i="1"/>
  <c r="O14" i="1" l="1"/>
  <c r="C33" i="1" l="1"/>
  <c r="B10" i="1"/>
  <c r="B11" i="1" s="1"/>
  <c r="B8" i="1"/>
  <c r="B6" i="1"/>
  <c r="B5" i="1"/>
  <c r="B14" i="1" s="1"/>
  <c r="B12" i="1" l="1"/>
  <c r="B13" i="1" s="1"/>
  <c r="B15" i="1" s="1"/>
  <c r="H33" i="1" l="1"/>
  <c r="H35" i="1"/>
  <c r="B17" i="1"/>
  <c r="B21" i="1" s="1"/>
  <c r="F27" i="1" l="1"/>
  <c r="F28" i="1" l="1"/>
  <c r="G28" i="1"/>
  <c r="F30" i="1"/>
  <c r="G30" i="1"/>
  <c r="I28" i="1" l="1"/>
  <c r="G4" i="1" l="1"/>
  <c r="G27" i="1"/>
  <c r="I27" i="1"/>
</calcChain>
</file>

<file path=xl/sharedStrings.xml><?xml version="1.0" encoding="utf-8"?>
<sst xmlns="http://schemas.openxmlformats.org/spreadsheetml/2006/main" count="57" uniqueCount="52">
  <si>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</si>
  <si>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</si>
  <si>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</si>
  <si>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</si>
  <si>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</si>
  <si>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</si>
  <si>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</si>
  <si>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</si>
  <si>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</si>
  <si>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</si>
  <si>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</si>
  <si>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</si>
  <si>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</si>
  <si>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</si>
  <si>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</si>
  <si>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</si>
  <si>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</si>
  <si>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</si>
  <si>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</si>
  <si>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</si>
  <si>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</si>
  <si>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</si>
  <si>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</si>
  <si>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</si>
  <si>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</si>
  <si>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IGR</t>
  </si>
  <si>
    <t>SBA</t>
  </si>
  <si>
    <t>Measurement carpet</t>
  </si>
  <si>
    <t>Rate on Carpet</t>
  </si>
  <si>
    <t>Built up Area</t>
  </si>
  <si>
    <t>Rate on Built up</t>
  </si>
  <si>
    <t>Rate on SBA</t>
  </si>
  <si>
    <t>RV</t>
  </si>
  <si>
    <t>First Mezzanine</t>
  </si>
  <si>
    <t>Second Mezzanine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</si>
  <si>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</si>
  <si>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</si>
  <si>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</si>
  <si>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</si>
  <si>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</si>
  <si>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</si>
  <si>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</si>
  <si>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</si>
  <si>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</si>
  <si>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</si>
  <si>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</si>
  <si>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</si>
  <si>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</si>
  <si>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</si>
  <si>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</si>
  <si>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Interior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</si>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</sst>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  <font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12" fillId="0" borderId="1" xfId="0" applyNumberFormat="1" applyFont="1" applyBorder="1"/>
    <xf numFmtId="10" fontId="0" fillId="0" borderId="1" xfId="0" applyNumberFormat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5" xfId="0" applyNumberFormat="1" applyFont="1" applyBorder="1"/>
    <xf numFmtId="43" fontId="0" fillId="0" borderId="5" xfId="0" applyNumberFormat="1" applyBorder="1"/>
    <xf numFmtId="43" fontId="3" fillId="0" borderId="1" xfId="1" applyFont="1" applyBorder="1"/>
    <xf numFmtId="43" fontId="2" fillId="0" borderId="1" xfId="1" applyFont="1" applyBorder="1"/>
    <xf numFmtId="164" fontId="2" fillId="0" borderId="1" xfId="1" applyNumberFormat="1" applyFont="1" applyFill="1" applyBorder="1"/>
    <xf numFmtId="0" fontId="7" fillId="0" borderId="1" xfId="0" applyFont="1" applyBorder="1"/>
    <xf numFmtId="0" fontId="15" fillId="0" borderId="1" xfId="0" applyFont="1" applyBorder="1"/>
    <xf numFmtId="43" fontId="16" fillId="0" borderId="1" xfId="1" applyFont="1" applyBorder="1"/>
    <xf numFmtId="43" fontId="3" fillId="0" borderId="1" xfId="0" applyNumberFormat="1" applyFont="1" applyBorder="1"/>
    <xf numFmtId="164" fontId="10" fillId="0" borderId="1" xfId="0" applyNumberFormat="1" applyFont="1" applyBorder="1"/>
    <xf numFmtId="43" fontId="6" fillId="0" borderId="0" xfId="1" applyFont="1"/>
    <xf numFmtId="164" fontId="2" fillId="0" borderId="0" xfId="0" applyNumberFormat="1" applyFont="1"/>
    <xf numFmtId="164" fontId="13" fillId="0" borderId="0" xfId="0" applyNumberFormat="1" applyFont="1"/>
    <xf numFmtId="43" fontId="0" fillId="0" borderId="1" xfId="1" applyFont="1" applyBorder="1"/>
    <xf numFmtId="0" fontId="0" fillId="2" borderId="1" xfId="0" applyFill="1" applyBorder="1"/>
    <xf numFmtId="43" fontId="0" fillId="2" borderId="1" xfId="0" applyNumberFormat="1" applyFill="1" applyBorder="1"/>
    <xf numFmtId="43" fontId="0" fillId="0" borderId="0" xfId="1" applyFont="1"/>
    <xf numFmtId="164" fontId="4" fillId="0" borderId="0" xfId="1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22</xdr:col>
      <xdr:colOff>182191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59AA81-09C3-4337-988E-E689E93A2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0"/>
          <a:ext cx="8716591" cy="809738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37</xdr:col>
      <xdr:colOff>134560</xdr:colOff>
      <xdr:row>40</xdr:row>
      <xdr:rowOff>105853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82D895-06B7-490E-80B1-0723EFF36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20800" y="0"/>
          <a:ext cx="8668960" cy="7725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30</xdr:col>
      <xdr:colOff>516379</xdr:colOff>
      <xdr:row>45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DC7E0E-F023-3C1F-9B51-6BD5F9FF0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0"/>
          <a:ext cx="14537179" cy="8602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tabSelected="1" topLeftCell="A41" zoomScaleNormal="100" workbookViewId="0">
      <selection activeCell="J61" sqref="J61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28.42578125" bestFit="1" customWidth="1"/>
    <col min="8" max="8" width="20.5703125" bestFit="1" customWidth="1"/>
    <col min="9" max="9" width="21.7109375" bestFit="1" customWidth="1"/>
    <col min="10" max="10" width="14.28515625" bestFit="1" customWidth="1"/>
    <col min="12" max="13" width="14.28515625" bestFit="1" customWidth="1"/>
    <col min="14" max="14" width="11.5703125" bestFit="1" customWidth="1"/>
  </cols>
  <sheetData>
    <row r="1" spans="1:17" x14ac:dyDescent="0.25">
      <c r="A1" s="1"/>
      <c r="B1" s="10"/>
      <c r="E1" s="1"/>
      <c r="F1" s="2"/>
      <c r="G1" s="2"/>
    </row>
    <row r="2" spans="1:17" ht="16.5" x14ac:dyDescent="0.3">
      <c r="A2" s="32"/>
      <c r="B2" s="22"/>
      <c r="C2" s="22"/>
      <c r="D2" s="20"/>
      <c r="E2" s="8"/>
      <c r="F2" s="37"/>
    </row>
    <row r="3" spans="1:17" ht="16.5" x14ac:dyDescent="0.3">
      <c r="A3" s="14" t="s">
        <v>0</v>
      </c>
      <c r="B3" s="23">
        <v>27000</v>
      </c>
      <c r="C3" s="15"/>
      <c r="D3" s="15"/>
      <c r="E3" t="s">
        <v>13</v>
      </c>
    </row>
    <row r="4" spans="1:17" ht="33" x14ac:dyDescent="0.3">
      <c r="A4" s="16" t="s">
        <v>1</v>
      </c>
      <c r="B4" s="23">
        <v>2600</v>
      </c>
      <c r="C4" s="15"/>
      <c r="D4" s="15"/>
      <c r="E4">
        <v>1974</v>
      </c>
      <c r="F4" s="3">
        <v>2025</v>
      </c>
      <c r="G4" s="4">
        <f>F4-E4</f>
        <v>51</v>
      </c>
      <c r="L4" s="22"/>
    </row>
    <row r="5" spans="1:17" ht="16.5" x14ac:dyDescent="0.3">
      <c r="A5" s="14" t="s">
        <v>2</v>
      </c>
      <c r="B5" s="23">
        <f>B3-B4</f>
        <v>24400</v>
      </c>
      <c r="C5" s="15"/>
      <c r="D5" s="15"/>
      <c r="E5" s="22"/>
      <c r="F5" s="40"/>
      <c r="G5" s="41"/>
      <c r="L5" s="8"/>
      <c r="M5" s="8"/>
      <c r="N5" s="26"/>
      <c r="O5" s="26"/>
      <c r="P5" s="26"/>
      <c r="Q5" s="26"/>
    </row>
    <row r="6" spans="1:17" ht="16.5" x14ac:dyDescent="0.3">
      <c r="A6" s="14" t="s">
        <v>3</v>
      </c>
      <c r="B6" s="23">
        <f>B4</f>
        <v>2600</v>
      </c>
      <c r="C6" s="15"/>
      <c r="D6" s="15"/>
      <c r="E6" s="8" t="s">
        <v>22</v>
      </c>
      <c r="F6" s="8" t="s">
        <v>23</v>
      </c>
      <c r="G6" s="42"/>
      <c r="L6" s="8"/>
      <c r="M6" s="8"/>
      <c r="N6" s="26"/>
      <c r="O6" s="26"/>
      <c r="P6" s="26"/>
      <c r="Q6" s="26"/>
    </row>
    <row r="7" spans="1:17" ht="16.5" x14ac:dyDescent="0.3">
      <c r="A7" s="14" t="s">
        <v>4</v>
      </c>
      <c r="B7" s="17">
        <v>51</v>
      </c>
      <c r="C7" s="18">
        <f>100-B7</f>
        <v>49</v>
      </c>
      <c r="D7" s="45"/>
      <c r="E7" s="9"/>
      <c r="F7" s="40">
        <v>1095</v>
      </c>
      <c r="G7" s="42"/>
      <c r="H7" s="6"/>
      <c r="L7" s="8"/>
      <c r="M7" s="8"/>
      <c r="N7" s="26"/>
      <c r="O7" s="26"/>
      <c r="P7" s="26"/>
      <c r="Q7" s="26"/>
    </row>
    <row r="8" spans="1:17" ht="16.5" x14ac:dyDescent="0.3">
      <c r="A8" s="14" t="s">
        <v>5</v>
      </c>
      <c r="B8" s="17">
        <f>B9-B7</f>
        <v>9</v>
      </c>
      <c r="C8" s="18"/>
      <c r="D8" s="18"/>
      <c r="E8" s="9"/>
      <c r="F8" s="40"/>
      <c r="G8" s="35"/>
      <c r="L8" s="9"/>
      <c r="M8" s="9"/>
      <c r="N8" s="26"/>
      <c r="O8" s="26"/>
      <c r="P8" s="26"/>
      <c r="Q8" s="26"/>
    </row>
    <row r="9" spans="1:17" ht="16.5" x14ac:dyDescent="0.3">
      <c r="A9" s="14" t="s">
        <v>6</v>
      </c>
      <c r="B9" s="17">
        <v>60</v>
      </c>
      <c r="C9" s="18"/>
      <c r="D9" s="18"/>
      <c r="E9" s="9"/>
      <c r="F9" s="46"/>
      <c r="G9" s="35"/>
      <c r="J9" s="27"/>
      <c r="K9" s="12"/>
      <c r="L9" s="8"/>
      <c r="M9" s="8"/>
      <c r="N9" s="26"/>
      <c r="O9" s="26"/>
      <c r="P9" s="26"/>
      <c r="Q9" s="26"/>
    </row>
    <row r="10" spans="1:17" ht="33" x14ac:dyDescent="0.3">
      <c r="A10" s="16" t="s">
        <v>7</v>
      </c>
      <c r="B10" s="17">
        <f>90*B7/B9</f>
        <v>76.5</v>
      </c>
      <c r="C10" s="18"/>
      <c r="D10" s="18"/>
      <c r="E10" s="9"/>
      <c r="F10" s="9"/>
      <c r="G10" s="8"/>
      <c r="I10" s="29">
        <v>167700</v>
      </c>
      <c r="J10" s="55">
        <f>I10/10.764</f>
        <v>15579.710144927538</v>
      </c>
      <c r="K10" s="12"/>
      <c r="L10" s="26"/>
      <c r="M10" s="26"/>
      <c r="N10" s="26"/>
      <c r="O10" s="26"/>
      <c r="P10" s="26"/>
      <c r="Q10" s="26"/>
    </row>
    <row r="11" spans="1:17" ht="16.5" x14ac:dyDescent="0.3">
      <c r="A11" s="14"/>
      <c r="B11" s="24">
        <f>B10%</f>
        <v>0.76500000000000001</v>
      </c>
      <c r="C11" s="31"/>
      <c r="D11" s="31"/>
      <c r="E11" s="34"/>
      <c r="F11" s="34"/>
      <c r="G11" s="8"/>
      <c r="I11">
        <f>I10*95%</f>
        <v>159315</v>
      </c>
      <c r="J11">
        <f>I11/10.764</f>
        <v>14800.72463768116</v>
      </c>
      <c r="K11" s="12"/>
      <c r="L11" s="48">
        <v>1095</v>
      </c>
      <c r="M11" s="26"/>
      <c r="N11" s="26"/>
      <c r="O11" s="26"/>
      <c r="P11" s="26"/>
      <c r="Q11" s="26"/>
    </row>
    <row r="12" spans="1:17" ht="16.5" x14ac:dyDescent="0.3">
      <c r="A12" s="14" t="s">
        <v>8</v>
      </c>
      <c r="B12" s="23">
        <f>B6*B11</f>
        <v>1989</v>
      </c>
      <c r="C12" s="19"/>
      <c r="D12" s="19"/>
      <c r="E12" s="9"/>
      <c r="F12" s="9"/>
      <c r="G12" s="8"/>
      <c r="K12" s="12"/>
      <c r="L12" s="48">
        <v>10805</v>
      </c>
      <c r="M12" s="26"/>
      <c r="N12" s="26"/>
      <c r="O12" s="26"/>
      <c r="P12" s="26"/>
      <c r="Q12" s="26"/>
    </row>
    <row r="13" spans="1:17" ht="16.5" x14ac:dyDescent="0.3">
      <c r="A13" s="14" t="s">
        <v>9</v>
      </c>
      <c r="B13" s="23">
        <f>B6-B12</f>
        <v>611</v>
      </c>
      <c r="C13" s="19"/>
      <c r="D13" s="19"/>
      <c r="E13" s="9"/>
      <c r="F13" s="9"/>
      <c r="G13" s="8"/>
      <c r="I13">
        <v>74980</v>
      </c>
      <c r="K13" s="12"/>
      <c r="L13" s="48">
        <f>L12*L11</f>
        <v>11831475</v>
      </c>
      <c r="M13" s="26"/>
      <c r="N13" s="26"/>
      <c r="O13" s="26"/>
      <c r="P13" s="26"/>
      <c r="Q13" s="26"/>
    </row>
    <row r="14" spans="1:17" ht="16.5" x14ac:dyDescent="0.3">
      <c r="A14" s="14" t="s">
        <v>2</v>
      </c>
      <c r="B14" s="23">
        <f>B5</f>
        <v>24400</v>
      </c>
      <c r="C14" s="15"/>
      <c r="D14" s="15"/>
      <c r="E14" s="39" t="s">
        <v>27</v>
      </c>
      <c r="F14" s="39" t="s">
        <v>33</v>
      </c>
      <c r="G14" t="s">
        <v>34</v>
      </c>
      <c r="K14" s="12"/>
      <c r="L14" s="48"/>
      <c r="M14" s="26"/>
      <c r="N14" s="26"/>
      <c r="O14" s="26">
        <f>N14*1.1</f>
        <v>0</v>
      </c>
      <c r="P14" s="26"/>
      <c r="Q14" s="26"/>
    </row>
    <row r="15" spans="1:17" ht="16.5" x14ac:dyDescent="0.3">
      <c r="A15" s="14" t="s">
        <v>10</v>
      </c>
      <c r="B15" s="23">
        <f>B14+B13</f>
        <v>25011</v>
      </c>
      <c r="C15" s="15"/>
      <c r="D15" s="15"/>
      <c r="E15" s="9">
        <v>1090</v>
      </c>
      <c r="F15" s="9">
        <v>1090</v>
      </c>
      <c r="G15" s="6">
        <v>510</v>
      </c>
      <c r="I15" s="6">
        <f>I11-I13</f>
        <v>84335</v>
      </c>
      <c r="K15" s="12"/>
      <c r="L15" s="29"/>
      <c r="M15" s="29"/>
    </row>
    <row r="16" spans="1:17" ht="16.5" x14ac:dyDescent="0.3">
      <c r="A16" s="14" t="s">
        <v>21</v>
      </c>
      <c r="B16" s="20">
        <v>1095</v>
      </c>
      <c r="C16" s="32"/>
      <c r="D16" s="14"/>
      <c r="E16" s="9"/>
      <c r="F16" s="8"/>
      <c r="I16" s="5">
        <f>I15*49%</f>
        <v>41324.15</v>
      </c>
      <c r="J16" s="5"/>
      <c r="K16" s="5"/>
      <c r="L16" s="6"/>
    </row>
    <row r="17" spans="1:14" ht="16.5" x14ac:dyDescent="0.3">
      <c r="A17" s="32" t="s">
        <v>11</v>
      </c>
      <c r="B17" s="21">
        <f>B15*B16</f>
        <v>27387045</v>
      </c>
      <c r="C17" s="21"/>
      <c r="D17" s="33"/>
      <c r="E17" s="35"/>
      <c r="F17" s="35"/>
      <c r="G17" s="6"/>
      <c r="H17" s="6"/>
      <c r="I17" s="5"/>
      <c r="J17" s="30"/>
      <c r="K17" s="5"/>
      <c r="L17" s="6"/>
      <c r="N17" s="6"/>
    </row>
    <row r="18" spans="1:14" ht="16.5" x14ac:dyDescent="0.3">
      <c r="A18" s="32" t="s">
        <v>32</v>
      </c>
      <c r="B18" s="47">
        <f>B17*0.9</f>
        <v>24648340.5</v>
      </c>
      <c r="C18" s="21"/>
      <c r="D18" s="33"/>
      <c r="E18" s="35"/>
      <c r="F18" s="35"/>
      <c r="G18" s="6"/>
      <c r="H18" s="6"/>
      <c r="I18" s="49">
        <f>I16+I13</f>
        <v>116304.15</v>
      </c>
      <c r="J18" s="50">
        <f>I18/10.764</f>
        <v>10804.919175027871</v>
      </c>
      <c r="K18" s="5"/>
      <c r="L18" s="6"/>
      <c r="N18" s="6"/>
    </row>
    <row r="19" spans="1:14" ht="16.5" x14ac:dyDescent="0.3">
      <c r="A19" s="32" t="s">
        <v>24</v>
      </c>
      <c r="B19" s="47">
        <f>B17*0.8</f>
        <v>21909636</v>
      </c>
      <c r="C19" s="21"/>
      <c r="D19" s="33"/>
      <c r="E19" s="35"/>
      <c r="F19" s="35"/>
      <c r="I19" s="5"/>
      <c r="J19" s="30"/>
      <c r="K19" s="5"/>
      <c r="L19" s="6"/>
      <c r="N19" s="6"/>
    </row>
    <row r="20" spans="1:14" ht="16.5" x14ac:dyDescent="0.3">
      <c r="A20" s="32" t="s">
        <v>12</v>
      </c>
      <c r="B20" s="21">
        <f>1095*B4</f>
        <v>2847000</v>
      </c>
      <c r="C20" s="33"/>
      <c r="D20" s="33"/>
      <c r="E20" s="35"/>
      <c r="F20" s="35"/>
      <c r="I20" s="6"/>
      <c r="J20" s="5"/>
    </row>
    <row r="21" spans="1:14" ht="16.5" x14ac:dyDescent="0.3">
      <c r="A21" s="20" t="s">
        <v>16</v>
      </c>
      <c r="B21" s="21">
        <f>B17*0.035/12</f>
        <v>79878.881250000006</v>
      </c>
      <c r="C21" s="21"/>
      <c r="D21" s="33"/>
      <c r="E21" s="35"/>
      <c r="F21" s="35"/>
      <c r="I21" s="6"/>
      <c r="J21" s="5"/>
    </row>
    <row r="22" spans="1:14" x14ac:dyDescent="0.25">
      <c r="A22" s="28"/>
      <c r="B22" s="36"/>
      <c r="C22" s="28"/>
      <c r="D22" s="28"/>
      <c r="E22" s="38"/>
      <c r="F22" s="6"/>
    </row>
    <row r="23" spans="1:14" x14ac:dyDescent="0.25">
      <c r="B23" s="11"/>
      <c r="I23" s="6"/>
    </row>
    <row r="24" spans="1:14" x14ac:dyDescent="0.25">
      <c r="E24" s="6"/>
    </row>
    <row r="25" spans="1:14" x14ac:dyDescent="0.25">
      <c r="C25" t="s">
        <v>14</v>
      </c>
    </row>
    <row r="26" spans="1:14" x14ac:dyDescent="0.25">
      <c r="B26" s="43" t="s">
        <v>15</v>
      </c>
      <c r="C26" s="8" t="s">
        <v>20</v>
      </c>
      <c r="D26" s="8" t="s">
        <v>26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43"/>
      <c r="C27" s="8">
        <v>500</v>
      </c>
      <c r="D27" s="8"/>
      <c r="E27" s="8">
        <v>13500000</v>
      </c>
      <c r="F27" s="9" t="e">
        <f t="shared" ref="F27:F30" si="0">E27/B27</f>
        <v>#DIV/0!</v>
      </c>
      <c r="G27" s="9">
        <f>E27/C27</f>
        <v>27000</v>
      </c>
      <c r="H27" s="9" t="e">
        <f>E27/D27</f>
        <v>#DIV/0!</v>
      </c>
      <c r="I27" s="8" t="e">
        <f>C27/B27</f>
        <v>#DIV/0!</v>
      </c>
      <c r="J27" s="13"/>
    </row>
    <row r="28" spans="1:14" ht="17.25" x14ac:dyDescent="0.3">
      <c r="B28" s="43">
        <v>490</v>
      </c>
      <c r="C28" s="8">
        <f>B28*1.2</f>
        <v>588</v>
      </c>
      <c r="D28" s="8"/>
      <c r="E28" s="8">
        <v>13000000</v>
      </c>
      <c r="F28" s="9">
        <f t="shared" si="0"/>
        <v>26530.612244897959</v>
      </c>
      <c r="G28" s="9">
        <f>E28/C28</f>
        <v>22108.843537414967</v>
      </c>
      <c r="H28" s="9" t="e">
        <f>E28/D28</f>
        <v>#DIV/0!</v>
      </c>
      <c r="I28" s="8">
        <f>C28/B28</f>
        <v>1.2</v>
      </c>
      <c r="J28" s="13"/>
    </row>
    <row r="29" spans="1:14" ht="17.25" x14ac:dyDescent="0.3">
      <c r="B29" s="43"/>
      <c r="C29" s="8"/>
      <c r="D29" s="8"/>
      <c r="E29" s="8"/>
      <c r="F29" s="9" t="e">
        <f t="shared" si="0"/>
        <v>#DIV/0!</v>
      </c>
      <c r="G29" s="9" t="e">
        <f>E29/C29</f>
        <v>#DIV/0!</v>
      </c>
      <c r="H29" s="9" t="e">
        <f>E29/D29</f>
        <v>#DIV/0!</v>
      </c>
      <c r="I29" s="8" t="e">
        <f>D29/B29</f>
        <v>#DIV/0!</v>
      </c>
      <c r="J29" s="13"/>
    </row>
    <row r="30" spans="1:14" x14ac:dyDescent="0.25">
      <c r="B30" s="43"/>
      <c r="C30" s="8"/>
      <c r="D30" s="8"/>
      <c r="E30" s="9"/>
      <c r="F30" s="9" t="e">
        <f t="shared" si="0"/>
        <v>#DIV/0!</v>
      </c>
      <c r="G30" s="9" t="e">
        <f t="shared" ref="G30" si="1">E30/C30</f>
        <v>#DIV/0!</v>
      </c>
      <c r="H30" s="9" t="e">
        <f>E30/D30</f>
        <v>#DIV/0!</v>
      </c>
      <c r="I30" s="8"/>
    </row>
    <row r="31" spans="1:14" x14ac:dyDescent="0.25">
      <c r="E31" s="6"/>
      <c r="F31" s="6"/>
      <c r="G31" s="6"/>
      <c r="H31" s="6"/>
    </row>
    <row r="32" spans="1:14" x14ac:dyDescent="0.25">
      <c r="A32" t="s">
        <v>15</v>
      </c>
      <c r="B32" s="7" t="s">
        <v>25</v>
      </c>
      <c r="C32" t="s">
        <v>28</v>
      </c>
      <c r="D32" t="s">
        <v>29</v>
      </c>
      <c r="E32" t="s">
        <v>30</v>
      </c>
      <c r="F32" t="s">
        <v>26</v>
      </c>
      <c r="G32" t="s">
        <v>31</v>
      </c>
    </row>
    <row r="33" spans="1:10" ht="15.75" x14ac:dyDescent="0.25">
      <c r="A33" s="44">
        <v>273</v>
      </c>
      <c r="B33" s="8">
        <f>6006000+360400+30000</f>
        <v>6396400</v>
      </c>
      <c r="C33" s="8">
        <f t="shared" ref="C33:C37" si="2">B33/A33</f>
        <v>23430.03663003663</v>
      </c>
      <c r="D33" s="8">
        <f>A33*1.2</f>
        <v>327.59999999999997</v>
      </c>
      <c r="E33" s="9">
        <f>B33/D33</f>
        <v>19525.030525030528</v>
      </c>
      <c r="F33" s="8"/>
      <c r="G33" s="8"/>
      <c r="H33" s="6">
        <f>B15/E33</f>
        <v>1.2809711087486708</v>
      </c>
      <c r="I33" s="6"/>
      <c r="J33" s="6"/>
    </row>
    <row r="34" spans="1:10" ht="15.75" x14ac:dyDescent="0.25">
      <c r="A34" s="25">
        <f>46.63*10.764</f>
        <v>501.92532</v>
      </c>
      <c r="B34" s="7">
        <v>15486200</v>
      </c>
      <c r="C34" s="8">
        <f t="shared" si="2"/>
        <v>30853.593917118986</v>
      </c>
      <c r="D34">
        <f>A34*1.1</f>
        <v>552.11785200000008</v>
      </c>
      <c r="E34" s="9">
        <f>B34/D34</f>
        <v>28048.721742835438</v>
      </c>
      <c r="I34" s="6"/>
    </row>
    <row r="35" spans="1:10" ht="15.75" x14ac:dyDescent="0.25">
      <c r="A35" s="25">
        <f>D35/1.2</f>
        <v>670.86630000000002</v>
      </c>
      <c r="B35" s="7">
        <f>14500000+870000+30000</f>
        <v>15400000</v>
      </c>
      <c r="C35" s="8">
        <f t="shared" si="2"/>
        <v>22955.393645499855</v>
      </c>
      <c r="D35">
        <f>74.79*10.764</f>
        <v>805.03956000000005</v>
      </c>
      <c r="E35" s="9">
        <f>B35/D35</f>
        <v>19129.494704583212</v>
      </c>
      <c r="H35">
        <f>B15/E35</f>
        <v>1.3074574308545455</v>
      </c>
    </row>
    <row r="36" spans="1:10" ht="15.75" x14ac:dyDescent="0.25">
      <c r="A36" s="25">
        <f>D36/1.2</f>
        <v>458.81549999999999</v>
      </c>
      <c r="B36" s="7">
        <f>12000000+120000+30000</f>
        <v>12150000</v>
      </c>
      <c r="C36" s="8">
        <f t="shared" si="2"/>
        <v>26481.232652340648</v>
      </c>
      <c r="D36">
        <f>51.15*10.764</f>
        <v>550.57859999999994</v>
      </c>
      <c r="E36" s="9">
        <f>B36/D36</f>
        <v>22067.693876950543</v>
      </c>
    </row>
    <row r="37" spans="1:10" ht="15.75" x14ac:dyDescent="0.25">
      <c r="A37" s="25">
        <f>D37/1.2</f>
        <v>1946.49</v>
      </c>
      <c r="B37" s="7">
        <f>42500000+2550000+30000</f>
        <v>45080000</v>
      </c>
      <c r="C37" s="8">
        <f t="shared" si="2"/>
        <v>23159.636062861868</v>
      </c>
      <c r="D37">
        <f>217*10.764</f>
        <v>2335.788</v>
      </c>
      <c r="E37" s="9">
        <f>B37/D37</f>
        <v>19299.696719051557</v>
      </c>
    </row>
    <row r="40" spans="1:10" x14ac:dyDescent="0.25">
      <c r="G40" s="8" t="s">
        <v>35</v>
      </c>
      <c r="H40" s="8">
        <v>2025</v>
      </c>
    </row>
    <row r="41" spans="1:10" x14ac:dyDescent="0.25">
      <c r="G41" s="8" t="s">
        <v>36</v>
      </c>
      <c r="H41" s="8">
        <v>1974</v>
      </c>
    </row>
    <row r="42" spans="1:10" x14ac:dyDescent="0.25">
      <c r="G42" s="8" t="s">
        <v>37</v>
      </c>
      <c r="H42" s="8">
        <f>H40-H41</f>
        <v>51</v>
      </c>
    </row>
    <row r="43" spans="1:10" x14ac:dyDescent="0.25">
      <c r="G43" s="8"/>
      <c r="H43" s="8">
        <f>60-H42</f>
        <v>9</v>
      </c>
    </row>
    <row r="44" spans="1:10" x14ac:dyDescent="0.25">
      <c r="G44" s="8" t="s">
        <v>38</v>
      </c>
      <c r="H44" s="9">
        <f>1095*2600</f>
        <v>2847000</v>
      </c>
    </row>
    <row r="45" spans="1:10" x14ac:dyDescent="0.25">
      <c r="G45" s="8" t="s">
        <v>39</v>
      </c>
      <c r="H45" s="8"/>
    </row>
    <row r="46" spans="1:10" x14ac:dyDescent="0.25">
      <c r="G46" s="8"/>
      <c r="H46" s="8"/>
    </row>
    <row r="47" spans="1:10" x14ac:dyDescent="0.25">
      <c r="G47" s="8" t="s">
        <v>40</v>
      </c>
      <c r="H47" s="8">
        <f>100-10</f>
        <v>90</v>
      </c>
    </row>
    <row r="48" spans="1:10" x14ac:dyDescent="0.25">
      <c r="G48" s="8" t="s">
        <v>41</v>
      </c>
      <c r="H48" s="8">
        <f>H47*H42/60</f>
        <v>76.5</v>
      </c>
    </row>
    <row r="49" spans="3:10" x14ac:dyDescent="0.25">
      <c r="G49" s="8"/>
      <c r="H49" s="34">
        <f>H48%</f>
        <v>0.76500000000000001</v>
      </c>
    </row>
    <row r="50" spans="3:10" x14ac:dyDescent="0.25">
      <c r="G50" s="8"/>
      <c r="H50" s="8"/>
    </row>
    <row r="51" spans="3:10" x14ac:dyDescent="0.25">
      <c r="G51" s="8" t="s">
        <v>42</v>
      </c>
      <c r="H51" s="9">
        <f>ROUND((H44*H49),0)</f>
        <v>2177955</v>
      </c>
    </row>
    <row r="52" spans="3:10" x14ac:dyDescent="0.25">
      <c r="G52" s="8" t="s">
        <v>21</v>
      </c>
      <c r="H52" s="9">
        <v>1095</v>
      </c>
    </row>
    <row r="53" spans="3:10" x14ac:dyDescent="0.25">
      <c r="G53" s="8" t="s">
        <v>43</v>
      </c>
      <c r="H53" s="51">
        <v>24000</v>
      </c>
    </row>
    <row r="54" spans="3:10" x14ac:dyDescent="0.25">
      <c r="G54" s="8" t="s">
        <v>44</v>
      </c>
      <c r="H54" s="9">
        <f>H53*H52</f>
        <v>26280000</v>
      </c>
    </row>
    <row r="55" spans="3:10" x14ac:dyDescent="0.25">
      <c r="C55" s="6"/>
      <c r="D55" s="6"/>
      <c r="E55" s="6"/>
      <c r="G55" s="8" t="s">
        <v>45</v>
      </c>
      <c r="H55" s="8"/>
      <c r="I55" t="s">
        <v>50</v>
      </c>
      <c r="J55" t="s">
        <v>51</v>
      </c>
    </row>
    <row r="56" spans="3:10" x14ac:dyDescent="0.25">
      <c r="G56" s="52" t="s">
        <v>46</v>
      </c>
      <c r="H56" s="53">
        <f>H54-H51</f>
        <v>24102045</v>
      </c>
      <c r="I56" s="54">
        <v>3285000</v>
      </c>
      <c r="J56" s="6">
        <f>SUM(H56:I56)</f>
        <v>27387045</v>
      </c>
    </row>
    <row r="57" spans="3:10" x14ac:dyDescent="0.25">
      <c r="G57" s="52" t="s">
        <v>47</v>
      </c>
      <c r="J57" s="53">
        <f>ROUND((J56*90%),0)</f>
        <v>24648341</v>
      </c>
    </row>
    <row r="58" spans="3:10" x14ac:dyDescent="0.25">
      <c r="G58" s="52" t="s">
        <v>48</v>
      </c>
      <c r="J58" s="53">
        <f>ROUND((J56*80%),0)</f>
        <v>21909636</v>
      </c>
    </row>
    <row r="59" spans="3:10" x14ac:dyDescent="0.25">
      <c r="G59" s="52" t="s">
        <v>49</v>
      </c>
      <c r="H59" s="53">
        <f>MROUND((H56*0.025/12),500)</f>
        <v>50000</v>
      </c>
    </row>
    <row r="63" spans="3:10" x14ac:dyDescent="0.25">
      <c r="J63" s="54">
        <v>1095</v>
      </c>
    </row>
    <row r="64" spans="3:10" x14ac:dyDescent="0.25">
      <c r="J64" s="54">
        <v>15580</v>
      </c>
    </row>
    <row r="65" spans="10:10" x14ac:dyDescent="0.25">
      <c r="J65" s="54">
        <f>J64*J63</f>
        <v>17060100</v>
      </c>
    </row>
    <row r="67" spans="10:10" x14ac:dyDescent="0.25">
      <c r="J67" s="9">
        <v>2177955</v>
      </c>
    </row>
    <row r="68" spans="10:10" x14ac:dyDescent="0.25">
      <c r="J68" s="6">
        <f>J65-J67</f>
        <v>14882145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workbookViewId="0">
      <selection activeCell="X1" sqref="X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H1" workbookViewId="0">
      <selection activeCell="H1" sqref="H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2025-03-19T12:07:11Z</dcterms:modified>
</cp:coreProperties>
</file>