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3127"/>
  <workbookPr/>
  <mc:AlternateContent xmlns:mc="http://schemas.openxmlformats.org/markup-compatibility/2006">
    <mc:Choice Requires="x15">
      <x15ac:absPath xmlns:x15ac="http://schemas.microsoft.com/office/spreadsheetml/2010/11/ac" url="D:\BINU SURENDRAN\LAND &amp; BUILDING - 2025\Camlin Fine Sciences Ltd. -Plot No. Z78 &amp; Z  79\"/>
    </mc:Choice>
  </mc:AlternateContent>
  <xr:revisionPtr revIDLastSave="0" documentId="13_ncr:1_{DE915088-04AA-473F-9D3B-787F8EB7FD40}" xr6:coauthVersionLast="45" xr6:coauthVersionMax="47" xr10:uidLastSave="{00000000-0000-0000-0000-000000000000}"/>
  <bookViews>
    <workbookView xWindow="-120" yWindow="-120" windowWidth="29040" windowHeight="15720" activeTab="4" xr2:uid="{00000000-000D-0000-FFFF-FFFF00000000}"/>
  </bookViews>
  <sheets>
    <sheet name="Sheet1" sheetId="1" r:id="rId1"/>
    <sheet name="Allotment rate" sheetId="2" r:id="rId2"/>
    <sheet name="Coordinates" sheetId="3" r:id="rId3"/>
    <sheet name="Building" sheetId="5" r:id="rId4"/>
    <sheet name="Valuation" sheetId="6" r:id="rId5"/>
    <sheet name="Sale Instances" sheetId="7" r:id="rId6"/>
    <sheet name="Circle Rate" sheetId="8" r:id="rId7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36" i="6" l="1"/>
  <c r="C35" i="6"/>
  <c r="C34" i="6"/>
  <c r="N24" i="5"/>
  <c r="D11" i="7" l="1"/>
  <c r="D10" i="7"/>
  <c r="D9" i="7"/>
  <c r="D8" i="7"/>
  <c r="D7" i="7"/>
  <c r="D6" i="7"/>
  <c r="D12" i="7" s="1"/>
  <c r="C2" i="6" l="1"/>
  <c r="I2" i="6" s="1"/>
  <c r="K2" i="6" s="1"/>
  <c r="C26" i="6"/>
  <c r="C32" i="6" s="1"/>
  <c r="C21" i="6"/>
  <c r="C31" i="6" s="1"/>
  <c r="N15" i="6"/>
  <c r="H15" i="6"/>
  <c r="I15" i="6" s="1"/>
  <c r="J15" i="6" s="1"/>
  <c r="K15" i="6" s="1"/>
  <c r="M15" i="6" s="1"/>
  <c r="H13" i="6"/>
  <c r="I13" i="6" s="1"/>
  <c r="J13" i="6" s="1"/>
  <c r="K13" i="6" s="1"/>
  <c r="N13" i="6"/>
  <c r="H12" i="6"/>
  <c r="I12" i="6" s="1"/>
  <c r="J12" i="6" s="1"/>
  <c r="K12" i="6" s="1"/>
  <c r="N12" i="6"/>
  <c r="H11" i="6"/>
  <c r="I11" i="6" s="1"/>
  <c r="J11" i="6" s="1"/>
  <c r="K11" i="6" s="1"/>
  <c r="N11" i="6"/>
  <c r="H10" i="6"/>
  <c r="I10" i="6" s="1"/>
  <c r="J10" i="6" s="1"/>
  <c r="K10" i="6" s="1"/>
  <c r="M10" i="6" s="1"/>
  <c r="N10" i="6"/>
  <c r="H9" i="6"/>
  <c r="I9" i="6" s="1"/>
  <c r="J9" i="6" s="1"/>
  <c r="K9" i="6" s="1"/>
  <c r="N9" i="6"/>
  <c r="H8" i="6"/>
  <c r="I8" i="6" s="1"/>
  <c r="J8" i="6" s="1"/>
  <c r="K8" i="6" s="1"/>
  <c r="N8" i="6"/>
  <c r="H7" i="6"/>
  <c r="I7" i="6" s="1"/>
  <c r="J7" i="6" s="1"/>
  <c r="K7" i="6" s="1"/>
  <c r="N7" i="6"/>
  <c r="M9" i="6" l="1"/>
  <c r="M7" i="6"/>
  <c r="M12" i="6"/>
  <c r="L12" i="6" s="1"/>
  <c r="M13" i="6"/>
  <c r="L10" i="6"/>
  <c r="M11" i="6"/>
  <c r="L11" i="6" s="1"/>
  <c r="L8" i="6"/>
  <c r="L13" i="6"/>
  <c r="C4" i="6"/>
  <c r="C29" i="6" s="1"/>
  <c r="L9" i="6"/>
  <c r="L15" i="6"/>
  <c r="C16" i="6"/>
  <c r="M16" i="6" l="1"/>
  <c r="L7" i="6"/>
  <c r="L16" i="6"/>
  <c r="O7" i="5"/>
  <c r="O12" i="5"/>
  <c r="I12" i="5"/>
  <c r="J12" i="5" s="1"/>
  <c r="K12" i="5" s="1"/>
  <c r="L12" i="5" s="1"/>
  <c r="N12" i="5" s="1"/>
  <c r="O11" i="5"/>
  <c r="I11" i="5"/>
  <c r="J11" i="5" s="1"/>
  <c r="K11" i="5" s="1"/>
  <c r="L11" i="5" s="1"/>
  <c r="N11" i="5" s="1"/>
  <c r="O10" i="5"/>
  <c r="I10" i="5"/>
  <c r="J10" i="5" s="1"/>
  <c r="K10" i="5" s="1"/>
  <c r="L10" i="5" s="1"/>
  <c r="N10" i="5" s="1"/>
  <c r="M10" i="5" s="1"/>
  <c r="O9" i="5"/>
  <c r="I9" i="5"/>
  <c r="J9" i="5" s="1"/>
  <c r="K9" i="5" s="1"/>
  <c r="L9" i="5" s="1"/>
  <c r="N9" i="5" s="1"/>
  <c r="M9" i="5" s="1"/>
  <c r="O8" i="5"/>
  <c r="I8" i="5"/>
  <c r="J8" i="5" s="1"/>
  <c r="K8" i="5" s="1"/>
  <c r="L8" i="5" s="1"/>
  <c r="N8" i="5" s="1"/>
  <c r="I7" i="5"/>
  <c r="J7" i="5" s="1"/>
  <c r="K7" i="5" s="1"/>
  <c r="O6" i="5"/>
  <c r="I6" i="5"/>
  <c r="J6" i="5" s="1"/>
  <c r="K6" i="5" s="1"/>
  <c r="L6" i="5" s="1"/>
  <c r="N6" i="5" s="1"/>
  <c r="O13" i="5" l="1"/>
  <c r="N16" i="6" s="1"/>
  <c r="N13" i="5"/>
  <c r="C30" i="6" s="1"/>
  <c r="C33" i="6" s="1"/>
  <c r="M6" i="5"/>
  <c r="M12" i="5"/>
  <c r="M7" i="5"/>
  <c r="M8" i="5"/>
  <c r="M11" i="5"/>
  <c r="K3" i="6" l="1"/>
  <c r="K4" i="6" s="1"/>
  <c r="M13" i="5"/>
  <c r="I18" i="1"/>
  <c r="G21" i="1"/>
  <c r="H16" i="1"/>
  <c r="H17" i="1"/>
  <c r="H18" i="1"/>
  <c r="H19" i="1"/>
  <c r="H20" i="1"/>
  <c r="H15" i="1"/>
  <c r="H14" i="1"/>
  <c r="E10" i="1"/>
  <c r="E3" i="1"/>
  <c r="H21" i="1" l="1"/>
</calcChain>
</file>

<file path=xl/sharedStrings.xml><?xml version="1.0" encoding="utf-8"?>
<sst xmlns="http://schemas.openxmlformats.org/spreadsheetml/2006/main" count="153" uniqueCount="101">
  <si>
    <t>Total Plot Area</t>
  </si>
  <si>
    <t>Permissible Builtup Area on G.F. (35%)</t>
  </si>
  <si>
    <t>Common plot (Required 800.46 Sq. M.)</t>
  </si>
  <si>
    <t>Parking (Required 1000.58 Sq. M.)</t>
  </si>
  <si>
    <t>Tree Plantation (Required per 200 Sq. M. - 3 Trees)</t>
  </si>
  <si>
    <t>Total Ground floor Area</t>
  </si>
  <si>
    <t>Total first floor</t>
  </si>
  <si>
    <t>Total Builtup Area</t>
  </si>
  <si>
    <t>FSI Consumed</t>
  </si>
  <si>
    <t>Security Cabin</t>
  </si>
  <si>
    <t>RCC</t>
  </si>
  <si>
    <t>Ground floor</t>
  </si>
  <si>
    <t>Particulars</t>
  </si>
  <si>
    <t>Type of  Building</t>
  </si>
  <si>
    <t>Floor</t>
  </si>
  <si>
    <t>Builtup Area in Sq. M.</t>
  </si>
  <si>
    <t>Sr. No.</t>
  </si>
  <si>
    <t>As per plan</t>
  </si>
  <si>
    <t>As per Measurement</t>
  </si>
  <si>
    <t>U.G. Tank</t>
  </si>
  <si>
    <t>underground</t>
  </si>
  <si>
    <t>Admin Building</t>
  </si>
  <si>
    <t>First floor</t>
  </si>
  <si>
    <t>Raw Material/Finished good Storage Shed</t>
  </si>
  <si>
    <t>PEB</t>
  </si>
  <si>
    <t>Ground Floor</t>
  </si>
  <si>
    <t>Toilet Blocks</t>
  </si>
  <si>
    <t>Toilet Blocks (rooms)</t>
  </si>
  <si>
    <t>Length</t>
  </si>
  <si>
    <t>Width</t>
  </si>
  <si>
    <t>Boundries</t>
  </si>
  <si>
    <t xml:space="preserve">North </t>
  </si>
  <si>
    <t>South</t>
  </si>
  <si>
    <t>East</t>
  </si>
  <si>
    <t>West</t>
  </si>
  <si>
    <t>As per Document</t>
  </si>
  <si>
    <t>As per physical</t>
  </si>
  <si>
    <t>Plot No. Z/80</t>
  </si>
  <si>
    <t>10 Mt. Wide Corridore, 20Mt. Wide Road</t>
  </si>
  <si>
    <t>Plot Nos. Z/76 Z/77</t>
  </si>
  <si>
    <t>21°42'06.2"N 72°38'06.2"E</t>
  </si>
  <si>
    <t>Land Value</t>
  </si>
  <si>
    <t>Rate</t>
  </si>
  <si>
    <t>Government value</t>
  </si>
  <si>
    <t>land area</t>
  </si>
  <si>
    <t>Include full land value</t>
  </si>
  <si>
    <t>Structure Value</t>
  </si>
  <si>
    <t xml:space="preserve">Sr. No. </t>
  </si>
  <si>
    <t>Items</t>
  </si>
  <si>
    <t>Built Up Area In             Sq. Mt..</t>
  </si>
  <si>
    <t>Year Of Const.</t>
  </si>
  <si>
    <t>Valuation Year</t>
  </si>
  <si>
    <t>Total Life of Structure</t>
  </si>
  <si>
    <t>Full Rate</t>
  </si>
  <si>
    <t>Age Of Build.</t>
  </si>
  <si>
    <t>% of the depreciation rate to be deducted</t>
  </si>
  <si>
    <t>% Value</t>
  </si>
  <si>
    <t>Final Depreciated Rate to be considered</t>
  </si>
  <si>
    <t>Depreciation</t>
  </si>
  <si>
    <t>Final Depreciated Value to be considered</t>
  </si>
  <si>
    <t>Insurable Value / Full Value</t>
  </si>
  <si>
    <t>Total</t>
  </si>
  <si>
    <t>Interior and other Development</t>
  </si>
  <si>
    <t>Built up area</t>
  </si>
  <si>
    <t>Value</t>
  </si>
  <si>
    <t>Land Development Value</t>
  </si>
  <si>
    <t>Normal Case</t>
  </si>
  <si>
    <t>Interior and Other Development</t>
  </si>
  <si>
    <t>Land Development</t>
  </si>
  <si>
    <t>Total Value</t>
  </si>
  <si>
    <t>Realisable Value</t>
  </si>
  <si>
    <t>Distress Value</t>
  </si>
  <si>
    <t>Insurable Value</t>
  </si>
  <si>
    <t>SR.</t>
  </si>
  <si>
    <t>Name of the units</t>
  </si>
  <si>
    <t>Building Description</t>
  </si>
  <si>
    <t>Built up area (in sq. mtr)</t>
  </si>
  <si>
    <t>YOC</t>
  </si>
  <si>
    <t>Total Life</t>
  </si>
  <si>
    <t>Replacement Cost (Rs./ UOM)</t>
  </si>
  <si>
    <t>Age (Yrs)</t>
  </si>
  <si>
    <t>Depreciated Replacement Cost (Rs./UOM)</t>
  </si>
  <si>
    <t>Fair Market Value (Rs.)</t>
  </si>
  <si>
    <t>U.G. Tank (30KL)</t>
  </si>
  <si>
    <t>Accent Microcell Pvt. Ltd. &amp; SEZ internal Road</t>
  </si>
  <si>
    <t>Axiom Chemicals Pvt. Ltd.</t>
  </si>
  <si>
    <t>SRF Godown</t>
  </si>
  <si>
    <t>SEZ internal Road</t>
  </si>
  <si>
    <t>Plot no. Z/78 &amp; Z/79, Dahej SEZ, consisting of Revenue Survey No. 433/P, 436/P, 437/P, 438/P, 494/P, 495/P, village- Suva, Taluka- Vagara, District- Bharuch, State- Gujarat, Country- India, Pin- 392130</t>
  </si>
  <si>
    <t>Camlin fine Sciences Ltd.</t>
  </si>
  <si>
    <t>Area in Sq. Mtr</t>
  </si>
  <si>
    <t>Price</t>
  </si>
  <si>
    <t>Distance</t>
  </si>
  <si>
    <t>Dahej GIDC</t>
  </si>
  <si>
    <t>Plot No. P3 Dahej SEZ phase 2</t>
  </si>
  <si>
    <t>Plot No D3-15/5/6, at Dahej 3, GIDC, Chemical Zone, Industrial area, near CETP, and adjacent to main road of 120mtrs PCPIR Road. This plot has huge frontage, and is a corner plot, with 2 side road., Dahej, Bharuch, Gujarat</t>
  </si>
  <si>
    <t>Dahej SEZ, Dahej, Bharuch, Gujarat</t>
  </si>
  <si>
    <t>Located in SEZ for Chemical Zone, having Sea Port at 68 kms</t>
  </si>
  <si>
    <t>Saykha GIDC, Dahej, Bharuch, Gujarat</t>
  </si>
  <si>
    <t>DAHJE GIDC, Dahej, Bharuch, Gujarat</t>
  </si>
  <si>
    <t>Previous Valuation -2021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</si>
</sst>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3" formatCode="_ * #,##0.00_ ;_ * \-#,##0.00_ ;_ * &quot;-&quot;??_ ;_ @_ "/>
    <numFmt numFmtId="164" formatCode="_ * #,##0_ ;_ * \-#,##0_ ;_ * &quot;-&quot;??_ ;_ @_ "/>
  </numFmts>
  <fonts count="2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sz val="11"/>
      <color theme="1"/>
      <name val="Arial Narrow"/>
      <family val="2"/>
    </font>
    <font>
      <b/>
      <sz val="11"/>
      <color theme="1"/>
      <name val="Arial Narrow"/>
      <family val="2"/>
    </font>
    <font>
      <sz val="11"/>
      <color rgb="FFFF0000"/>
      <name val="Arial Narrow"/>
      <family val="2"/>
    </font>
    <font>
      <b/>
      <sz val="10"/>
      <name val="Arial Narrow"/>
      <family val="2"/>
    </font>
    <font>
      <sz val="11"/>
      <name val="Arial Narrow"/>
      <family val="2"/>
    </font>
    <font>
      <b/>
      <sz val="10"/>
      <color theme="1"/>
      <name val="Arial Narrow"/>
      <family val="2"/>
    </font>
    <font>
      <b/>
      <sz val="11"/>
      <color rgb="FFFF0000"/>
      <name val="Calibri"/>
      <family val="2"/>
    </font>
    <font>
      <sz val="11"/>
      <color rgb="FF000000"/>
      <name val="Arial Narrow"/>
      <family val="2"/>
    </font>
    <font>
      <sz val="10"/>
      <color theme="1"/>
      <name val="Arial Narrow"/>
      <family val="2"/>
    </font>
    <font>
      <b/>
      <sz val="11"/>
      <color rgb="FFFF0000"/>
      <name val="Arial Narrow"/>
      <family val="2"/>
    </font>
    <font>
      <b/>
      <sz val="10"/>
      <color theme="1"/>
      <name val="Arial"/>
      <family val="2"/>
    </font>
    <font>
      <sz val="10"/>
      <name val="Arial"/>
      <family val="2"/>
    </font>
    <font>
      <b/>
      <sz val="12"/>
      <color rgb="FFFF0000"/>
      <name val="Arial Narrow"/>
      <family val="2"/>
    </font>
    <font>
      <b/>
      <sz val="12"/>
      <color theme="1"/>
      <name val="Arial Narrow"/>
      <family val="2"/>
    </font>
    <font>
      <sz val="11"/>
      <color rgb="FF000000"/>
      <name val="Open Sans"/>
      <family val="2"/>
    </font>
    <font>
      <sz val="11"/>
      <color rgb="FF666666"/>
      <name val="Open Sans"/>
      <family val="2"/>
    </font>
    <font>
      <b/>
      <sz val="11"/>
      <color theme="1"/>
      <name val="Calibri"/>
      <family val="2"/>
    </font>
  </fonts>
  <fills count="2">
    <fill>
      <patternFill patternType="none"/>
    </fill>
    <fill>
      <patternFill patternType="gray125"/>
    </fill>
  </fills>
  <borders count="7">
    <border>
      <left/>
      <right/>
      <top/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3">
    <xf numFmtId="0" fontId="0" fillId="0" borderId="0"/>
    <xf numFmtId="43" fontId="1" fillId="0" borderId="0" applyFont="0" applyFill="0" applyBorder="0" applyAlignment="0" applyProtection="0"/>
    <xf numFmtId="0" fontId="15" fillId="0" borderId="0"/>
  </cellStyleXfs>
  <cellXfs count="86">
    <xf numFmtId="0" fontId="0" fillId="0" borderId="0" xfId="0"/>
    <xf numFmtId="0" fontId="0" fillId="0" borderId="0" xfId="0" applyAlignment="1">
      <alignment wrapText="1"/>
    </xf>
    <xf numFmtId="0" fontId="0" fillId="0" borderId="0" xfId="0" applyAlignment="1">
      <alignment horizontal="center"/>
    </xf>
    <xf numFmtId="0" fontId="0" fillId="0" borderId="0" xfId="0" applyAlignment="1">
      <alignment horizontal="right" vertical="center"/>
    </xf>
    <xf numFmtId="0" fontId="0" fillId="0" borderId="0" xfId="0" applyAlignment="1">
      <alignment horizontal="center" vertical="center" wrapText="1"/>
    </xf>
    <xf numFmtId="0" fontId="2" fillId="0" borderId="0" xfId="0" applyFont="1" applyAlignment="1">
      <alignment horizontal="center" vertical="center" wrapText="1"/>
    </xf>
    <xf numFmtId="0" fontId="2" fillId="0" borderId="0" xfId="0" applyFont="1" applyAlignment="1">
      <alignment horizontal="center"/>
    </xf>
    <xf numFmtId="0" fontId="0" fillId="0" borderId="0" xfId="0" applyAlignment="1">
      <alignment horizontal="center" vertical="center"/>
    </xf>
    <xf numFmtId="0" fontId="4" fillId="0" borderId="0" xfId="0" applyFont="1" applyAlignment="1">
      <alignment horizontal="center"/>
    </xf>
    <xf numFmtId="0" fontId="5" fillId="0" borderId="0" xfId="0" applyFont="1" applyAlignment="1">
      <alignment wrapText="1"/>
    </xf>
    <xf numFmtId="0" fontId="4" fillId="0" borderId="0" xfId="0" applyFont="1"/>
    <xf numFmtId="0" fontId="6" fillId="0" borderId="0" xfId="0" applyFont="1"/>
    <xf numFmtId="4" fontId="4" fillId="0" borderId="0" xfId="0" applyNumberFormat="1" applyFont="1"/>
    <xf numFmtId="4" fontId="7" fillId="0" borderId="2" xfId="0" applyNumberFormat="1" applyFont="1" applyBorder="1" applyAlignment="1">
      <alignment horizontal="center" vertical="top" wrapText="1" shrinkToFit="1"/>
    </xf>
    <xf numFmtId="0" fontId="6" fillId="0" borderId="2" xfId="0" applyFont="1" applyBorder="1" applyAlignment="1">
      <alignment horizontal="center"/>
    </xf>
    <xf numFmtId="4" fontId="6" fillId="0" borderId="0" xfId="0" applyNumberFormat="1" applyFont="1"/>
    <xf numFmtId="0" fontId="4" fillId="0" borderId="2" xfId="0" applyFont="1" applyBorder="1" applyAlignment="1">
      <alignment horizontal="center"/>
    </xf>
    <xf numFmtId="4" fontId="8" fillId="0" borderId="2" xfId="0" applyNumberFormat="1" applyFont="1" applyBorder="1" applyAlignment="1">
      <alignment vertical="top"/>
    </xf>
    <xf numFmtId="4" fontId="6" fillId="0" borderId="2" xfId="0" applyNumberFormat="1" applyFont="1" applyBorder="1" applyAlignment="1">
      <alignment vertical="top"/>
    </xf>
    <xf numFmtId="0" fontId="8" fillId="0" borderId="2" xfId="0" applyFont="1" applyBorder="1"/>
    <xf numFmtId="0" fontId="8" fillId="0" borderId="0" xfId="0" applyFont="1"/>
    <xf numFmtId="0" fontId="9" fillId="0" borderId="2" xfId="0" applyFont="1" applyBorder="1" applyAlignment="1">
      <alignment horizontal="center"/>
    </xf>
    <xf numFmtId="0" fontId="10" fillId="0" borderId="2" xfId="0" applyFont="1" applyBorder="1" applyAlignment="1">
      <alignment horizontal="center" vertical="top" wrapText="1" shrinkToFit="1"/>
    </xf>
    <xf numFmtId="0" fontId="9" fillId="0" borderId="0" xfId="0" applyFont="1" applyAlignment="1">
      <alignment horizontal="center"/>
    </xf>
    <xf numFmtId="0" fontId="4" fillId="0" borderId="2" xfId="0" applyFont="1" applyBorder="1" applyAlignment="1">
      <alignment horizontal="center" vertical="top"/>
    </xf>
    <xf numFmtId="4" fontId="4" fillId="0" borderId="2" xfId="0" applyNumberFormat="1" applyFont="1" applyBorder="1" applyAlignment="1">
      <alignment horizontal="right" vertical="top" wrapText="1"/>
    </xf>
    <xf numFmtId="4" fontId="6" fillId="0" borderId="2" xfId="0" applyNumberFormat="1" applyFont="1" applyBorder="1" applyAlignment="1">
      <alignment horizontal="right" vertical="top"/>
    </xf>
    <xf numFmtId="0" fontId="4" fillId="0" borderId="0" xfId="0" applyFont="1" applyAlignment="1">
      <alignment vertical="top"/>
    </xf>
    <xf numFmtId="0" fontId="12" fillId="0" borderId="2" xfId="0" applyFont="1" applyBorder="1" applyAlignment="1">
      <alignment horizontal="center" vertical="top"/>
    </xf>
    <xf numFmtId="0" fontId="12" fillId="0" borderId="2" xfId="0" applyFont="1" applyBorder="1" applyAlignment="1">
      <alignment horizontal="center"/>
    </xf>
    <xf numFmtId="4" fontId="6" fillId="0" borderId="2" xfId="0" applyNumberFormat="1" applyFont="1" applyBorder="1"/>
    <xf numFmtId="0" fontId="5" fillId="0" borderId="2" xfId="0" applyFont="1" applyBorder="1" applyAlignment="1">
      <alignment horizontal="center"/>
    </xf>
    <xf numFmtId="0" fontId="5" fillId="0" borderId="2" xfId="0" applyFont="1" applyBorder="1" applyAlignment="1">
      <alignment vertical="top" wrapText="1"/>
    </xf>
    <xf numFmtId="0" fontId="5" fillId="0" borderId="2" xfId="0" applyFont="1" applyBorder="1" applyAlignment="1">
      <alignment vertical="top"/>
    </xf>
    <xf numFmtId="4" fontId="5" fillId="0" borderId="2" xfId="0" applyNumberFormat="1" applyFont="1" applyBorder="1" applyAlignment="1">
      <alignment vertical="top"/>
    </xf>
    <xf numFmtId="0" fontId="5" fillId="0" borderId="0" xfId="0" applyFont="1"/>
    <xf numFmtId="0" fontId="4" fillId="0" borderId="0" xfId="0" applyFont="1" applyAlignment="1">
      <alignment vertical="top" wrapText="1"/>
    </xf>
    <xf numFmtId="0" fontId="6" fillId="0" borderId="0" xfId="0" applyFont="1" applyAlignment="1">
      <alignment vertical="top"/>
    </xf>
    <xf numFmtId="4" fontId="6" fillId="0" borderId="0" xfId="0" applyNumberFormat="1" applyFont="1" applyAlignment="1">
      <alignment vertical="top"/>
    </xf>
    <xf numFmtId="4" fontId="4" fillId="0" borderId="0" xfId="0" applyNumberFormat="1" applyFont="1" applyAlignment="1">
      <alignment vertical="top"/>
    </xf>
    <xf numFmtId="4" fontId="8" fillId="0" borderId="0" xfId="0" applyNumberFormat="1" applyFont="1" applyAlignment="1">
      <alignment vertical="top"/>
    </xf>
    <xf numFmtId="0" fontId="4" fillId="0" borderId="2" xfId="0" applyFont="1" applyBorder="1" applyAlignment="1">
      <alignment horizontal="center" wrapText="1"/>
    </xf>
    <xf numFmtId="4" fontId="8" fillId="0" borderId="2" xfId="0" applyNumberFormat="1" applyFont="1" applyBorder="1"/>
    <xf numFmtId="0" fontId="7" fillId="0" borderId="0" xfId="0" applyFont="1" applyAlignment="1">
      <alignment horizontal="center" vertical="top" wrapText="1" shrinkToFit="1"/>
    </xf>
    <xf numFmtId="0" fontId="6" fillId="0" borderId="0" xfId="0" applyFont="1" applyAlignment="1">
      <alignment horizontal="center"/>
    </xf>
    <xf numFmtId="0" fontId="13" fillId="0" borderId="0" xfId="0" applyFont="1" applyAlignment="1">
      <alignment horizontal="center" vertical="top"/>
    </xf>
    <xf numFmtId="0" fontId="13" fillId="0" borderId="0" xfId="0" applyFont="1"/>
    <xf numFmtId="0" fontId="5" fillId="0" borderId="0" xfId="0" applyFont="1" applyAlignment="1">
      <alignment horizontal="center" vertical="top"/>
    </xf>
    <xf numFmtId="0" fontId="4" fillId="0" borderId="0" xfId="0" applyFont="1" applyAlignment="1">
      <alignment wrapText="1"/>
    </xf>
    <xf numFmtId="4" fontId="13" fillId="0" borderId="0" xfId="0" applyNumberFormat="1" applyFont="1"/>
    <xf numFmtId="2" fontId="6" fillId="0" borderId="0" xfId="0" applyNumberFormat="1" applyFont="1"/>
    <xf numFmtId="0" fontId="4" fillId="0" borderId="0" xfId="0" applyFont="1" applyAlignment="1">
      <alignment horizontal="right" vertical="top" wrapText="1"/>
    </xf>
    <xf numFmtId="0" fontId="5" fillId="0" borderId="0" xfId="0" applyFont="1" applyAlignment="1">
      <alignment horizontal="center" vertical="top" wrapText="1"/>
    </xf>
    <xf numFmtId="0" fontId="6" fillId="0" borderId="0" xfId="0" applyFont="1" applyAlignment="1">
      <alignment horizontal="right" vertical="top" wrapText="1"/>
    </xf>
    <xf numFmtId="0" fontId="4" fillId="0" borderId="0" xfId="0" applyFont="1" applyAlignment="1">
      <alignment horizontal="center" vertical="top" wrapText="1"/>
    </xf>
    <xf numFmtId="0" fontId="11" fillId="0" borderId="0" xfId="0" applyFont="1" applyAlignment="1">
      <alignment horizontal="right" vertical="top" wrapText="1"/>
    </xf>
    <xf numFmtId="0" fontId="14" fillId="0" borderId="2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16" fillId="0" borderId="2" xfId="2" applyFont="1" applyBorder="1" applyAlignment="1">
      <alignment horizontal="center" vertical="center" wrapText="1"/>
    </xf>
    <xf numFmtId="0" fontId="17" fillId="0" borderId="2" xfId="2" applyFont="1" applyBorder="1" applyAlignment="1">
      <alignment horizontal="center" vertical="center" wrapText="1"/>
    </xf>
    <xf numFmtId="3" fontId="17" fillId="0" borderId="2" xfId="2" applyNumberFormat="1" applyFont="1" applyBorder="1" applyAlignment="1">
      <alignment horizontal="center" vertical="center" wrapText="1"/>
    </xf>
    <xf numFmtId="164" fontId="17" fillId="0" borderId="2" xfId="1" applyNumberFormat="1" applyFont="1" applyBorder="1" applyAlignment="1">
      <alignment horizontal="center" vertical="center" wrapText="1"/>
    </xf>
    <xf numFmtId="0" fontId="6" fillId="0" borderId="2" xfId="0" applyFont="1" applyBorder="1" applyAlignment="1">
      <alignment horizontal="center" vertical="top"/>
    </xf>
    <xf numFmtId="3" fontId="17" fillId="0" borderId="2" xfId="2" applyNumberFormat="1" applyFont="1" applyBorder="1" applyAlignment="1">
      <alignment horizontal="right" vertical="center" wrapText="1"/>
    </xf>
    <xf numFmtId="164" fontId="17" fillId="0" borderId="2" xfId="1" applyNumberFormat="1" applyFont="1" applyBorder="1" applyAlignment="1">
      <alignment horizontal="right" vertical="center" wrapText="1"/>
    </xf>
    <xf numFmtId="3" fontId="0" fillId="0" borderId="0" xfId="0" applyNumberFormat="1"/>
    <xf numFmtId="164" fontId="0" fillId="0" borderId="0" xfId="0" applyNumberFormat="1"/>
    <xf numFmtId="4" fontId="6" fillId="0" borderId="6" xfId="0" applyNumberFormat="1" applyFont="1" applyFill="1" applyBorder="1" applyAlignment="1">
      <alignment horizontal="right" vertical="top"/>
    </xf>
    <xf numFmtId="0" fontId="4" fillId="0" borderId="1" xfId="0" applyFont="1" applyBorder="1" applyAlignment="1">
      <alignment wrapText="1"/>
    </xf>
    <xf numFmtId="0" fontId="0" fillId="0" borderId="0" xfId="0" applyAlignment="1"/>
    <xf numFmtId="0" fontId="18" fillId="0" borderId="0" xfId="0" applyFont="1"/>
    <xf numFmtId="0" fontId="19" fillId="0" borderId="0" xfId="0" applyFont="1"/>
    <xf numFmtId="0" fontId="9" fillId="0" borderId="2" xfId="0" applyFont="1" applyBorder="1" applyAlignment="1">
      <alignment horizontal="center" vertical="top" wrapText="1" shrinkToFit="1"/>
    </xf>
    <xf numFmtId="0" fontId="20" fillId="0" borderId="2" xfId="0" applyFont="1" applyBorder="1" applyAlignment="1">
      <alignment horizontal="center" vertical="top" wrapText="1" shrinkToFit="1"/>
    </xf>
    <xf numFmtId="0" fontId="9" fillId="0" borderId="2" xfId="0" applyFont="1" applyBorder="1" applyAlignment="1">
      <alignment horizontal="center" vertical="top" wrapText="1"/>
    </xf>
    <xf numFmtId="4" fontId="4" fillId="0" borderId="2" xfId="0" applyNumberFormat="1" applyFont="1" applyBorder="1" applyAlignment="1">
      <alignment horizontal="right" vertical="top"/>
    </xf>
    <xf numFmtId="0" fontId="4" fillId="0" borderId="2" xfId="0" applyFont="1" applyBorder="1" applyAlignment="1">
      <alignment vertical="top"/>
    </xf>
    <xf numFmtId="4" fontId="4" fillId="0" borderId="2" xfId="0" applyNumberFormat="1" applyFont="1" applyBorder="1" applyAlignment="1">
      <alignment vertical="top"/>
    </xf>
    <xf numFmtId="4" fontId="4" fillId="0" borderId="2" xfId="0" applyNumberFormat="1" applyFont="1" applyBorder="1"/>
    <xf numFmtId="4" fontId="5" fillId="0" borderId="2" xfId="0" applyNumberFormat="1" applyFont="1" applyBorder="1" applyAlignment="1">
      <alignment horizontal="right" vertical="top"/>
    </xf>
    <xf numFmtId="0" fontId="4" fillId="0" borderId="2" xfId="0" applyFont="1" applyBorder="1"/>
    <xf numFmtId="0" fontId="4" fillId="0" borderId="0" xfId="0" applyFont="1" applyAlignment="1">
      <alignment horizontal="center" wrapText="1"/>
    </xf>
    <xf numFmtId="0" fontId="5" fillId="0" borderId="3" xfId="0" applyFont="1" applyBorder="1" applyAlignment="1">
      <alignment horizontal="left" vertical="top"/>
    </xf>
    <xf numFmtId="0" fontId="5" fillId="0" borderId="4" xfId="0" applyFont="1" applyBorder="1" applyAlignment="1">
      <alignment horizontal="left" vertical="top" wrapText="1"/>
    </xf>
    <xf numFmtId="0" fontId="5" fillId="0" borderId="5" xfId="0" applyFont="1" applyBorder="1" applyAlignment="1">
      <alignment horizontal="left" vertical="top" wrapText="1"/>
    </xf>
    <xf numFmtId="4" fontId="4" fillId="0" borderId="2" xfId="0" applyNumberFormat="1" applyFont="1" applyBorder="1" applyAlignment="1">
      <alignment horizontal="left" vertical="top" wrapText="1"/>
    </xf>
  </cellXfs>
  <cellStyles count="3">
    <cellStyle name="Comma" xfId="1" builtinId="3"/>
    <cellStyle name="Normal" xfId="0" builtinId="0"/>
    <cellStyle name="Normal 2" xfId="2" xr:uid="{00000000-0005-0000-0000-000002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5" Type="http://schemas.openxmlformats.org/officeDocument/2006/relationships/image" Target="../media/image9.png"/><Relationship Id="rId4" Type="http://schemas.openxmlformats.org/officeDocument/2006/relationships/image" Target="../media/image8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419100</xdr:colOff>
      <xdr:row>1</xdr:row>
      <xdr:rowOff>0</xdr:rowOff>
    </xdr:from>
    <xdr:to>
      <xdr:col>33</xdr:col>
      <xdr:colOff>416814</xdr:colOff>
      <xdr:row>54</xdr:row>
      <xdr:rowOff>189214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EDBC9B5-51FB-4360-9433-68AFF779C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47900" y="190500"/>
          <a:ext cx="18285714" cy="1028571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561974</xdr:colOff>
      <xdr:row>9</xdr:row>
      <xdr:rowOff>57150</xdr:rowOff>
    </xdr:from>
    <xdr:to>
      <xdr:col>25</xdr:col>
      <xdr:colOff>561975</xdr:colOff>
      <xdr:row>31</xdr:row>
      <xdr:rowOff>104775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DA3508B-9311-42C9-B7A7-2DFCAE4B5D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5854" t="11642" r="24296" b="9865"/>
        <a:stretch/>
      </xdr:blipFill>
      <xdr:spPr>
        <a:xfrm>
          <a:off x="9096374" y="1771650"/>
          <a:ext cx="6705601" cy="4238625"/>
        </a:xfrm>
        <a:prstGeom prst="rect">
          <a:avLst/>
        </a:prstGeom>
      </xdr:spPr>
    </xdr:pic>
    <xdr:clientData/>
  </xdr:twoCellAnchor>
  <xdr:twoCellAnchor editAs="oneCell">
    <xdr:from>
      <xdr:col>14</xdr:col>
      <xdr:colOff>533400</xdr:colOff>
      <xdr:row>34</xdr:row>
      <xdr:rowOff>104775</xdr:rowOff>
    </xdr:from>
    <xdr:to>
      <xdr:col>26</xdr:col>
      <xdr:colOff>76200</xdr:colOff>
      <xdr:row>56</xdr:row>
      <xdr:rowOff>76201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79003CC-20A6-4DAC-B6A4-DC247ADA24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4783" t="12525" r="13780" b="10394"/>
        <a:stretch/>
      </xdr:blipFill>
      <xdr:spPr>
        <a:xfrm>
          <a:off x="9067800" y="6581775"/>
          <a:ext cx="6858000" cy="416242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9526</xdr:colOff>
      <xdr:row>18</xdr:row>
      <xdr:rowOff>123825</xdr:rowOff>
    </xdr:from>
    <xdr:to>
      <xdr:col>14</xdr:col>
      <xdr:colOff>28576</xdr:colOff>
      <xdr:row>33</xdr:row>
      <xdr:rowOff>161925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3D13F8D-F1D5-42D2-ACC7-9C5A2A164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3501" y="4667250"/>
          <a:ext cx="8439150" cy="34671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</xdr:colOff>
      <xdr:row>4</xdr:row>
      <xdr:rowOff>0</xdr:rowOff>
    </xdr:from>
    <xdr:to>
      <xdr:col>22</xdr:col>
      <xdr:colOff>307126</xdr:colOff>
      <xdr:row>22</xdr:row>
      <xdr:rowOff>94800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15201" y="762000"/>
          <a:ext cx="6403125" cy="3600000"/>
        </a:xfrm>
        <a:prstGeom prst="rect">
          <a:avLst/>
        </a:prstGeom>
      </xdr:spPr>
    </xdr:pic>
    <xdr:clientData/>
  </xdr:twoCellAnchor>
  <xdr:twoCellAnchor editAs="oneCell">
    <xdr:from>
      <xdr:col>23</xdr:col>
      <xdr:colOff>1</xdr:colOff>
      <xdr:row>4</xdr:row>
      <xdr:rowOff>0</xdr:rowOff>
    </xdr:from>
    <xdr:to>
      <xdr:col>33</xdr:col>
      <xdr:colOff>307126</xdr:colOff>
      <xdr:row>22</xdr:row>
      <xdr:rowOff>94800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077951" y="762000"/>
          <a:ext cx="6403125" cy="36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24</xdr:row>
      <xdr:rowOff>0</xdr:rowOff>
    </xdr:from>
    <xdr:to>
      <xdr:col>22</xdr:col>
      <xdr:colOff>307126</xdr:colOff>
      <xdr:row>42</xdr:row>
      <xdr:rowOff>171000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72351" y="4572000"/>
          <a:ext cx="6403125" cy="36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44</xdr:row>
      <xdr:rowOff>0</xdr:rowOff>
    </xdr:from>
    <xdr:to>
      <xdr:col>22</xdr:col>
      <xdr:colOff>307126</xdr:colOff>
      <xdr:row>62</xdr:row>
      <xdr:rowOff>171000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372351" y="8382000"/>
          <a:ext cx="6403125" cy="36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64</xdr:row>
      <xdr:rowOff>0</xdr:rowOff>
    </xdr:from>
    <xdr:to>
      <xdr:col>22</xdr:col>
      <xdr:colOff>307126</xdr:colOff>
      <xdr:row>82</xdr:row>
      <xdr:rowOff>171000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372351" y="12211050"/>
          <a:ext cx="6403125" cy="36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84</xdr:row>
      <xdr:rowOff>0</xdr:rowOff>
    </xdr:from>
    <xdr:to>
      <xdr:col>22</xdr:col>
      <xdr:colOff>307126</xdr:colOff>
      <xdr:row>102</xdr:row>
      <xdr:rowOff>171000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372351" y="16040100"/>
          <a:ext cx="6403125" cy="36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104</xdr:row>
      <xdr:rowOff>0</xdr:rowOff>
    </xdr:from>
    <xdr:to>
      <xdr:col>22</xdr:col>
      <xdr:colOff>307126</xdr:colOff>
      <xdr:row>122</xdr:row>
      <xdr:rowOff>171000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372351" y="19869150"/>
          <a:ext cx="6403125" cy="36000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7</xdr:row>
      <xdr:rowOff>0</xdr:rowOff>
    </xdr:from>
    <xdr:to>
      <xdr:col>22</xdr:col>
      <xdr:colOff>456000</xdr:colOff>
      <xdr:row>35</xdr:row>
      <xdr:rowOff>66000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6CEB4EE-F931-4902-A2D4-9C8E74307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67200" y="1333500"/>
          <a:ext cx="9600000" cy="540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C2:J29"/>
  <sheetViews>
    <sheetView topLeftCell="A21" workbookViewId="0">
      <selection activeCell="D34" sqref="D34"/>
    </sheetView>
  </sheetViews>
  <sheetFormatPr defaultRowHeight="15"/>
  <cols>
    <col min="4" max="4" width="26.28515625" style="1" customWidth="1"/>
    <col min="5" max="5" width="18.140625" style="3" customWidth="1"/>
    <col min="6" max="6" width="16.140625" customWidth="1"/>
    <col min="7" max="7" width="17.85546875" style="2" customWidth="1"/>
    <col min="8" max="8" width="9.140625" style="2"/>
  </cols>
  <sheetData>
    <row r="2" spans="3:10">
      <c r="D2" s="1" t="s">
        <v>0</v>
      </c>
      <c r="E2" s="3">
        <v>10005.83</v>
      </c>
    </row>
    <row r="3" spans="3:10" ht="30">
      <c r="D3" s="1" t="s">
        <v>1</v>
      </c>
      <c r="E3" s="3">
        <f>E2*35%</f>
        <v>3502.0404999999996</v>
      </c>
    </row>
    <row r="4" spans="3:10" ht="30">
      <c r="D4" s="1" t="s">
        <v>2</v>
      </c>
      <c r="E4" s="3">
        <v>816</v>
      </c>
    </row>
    <row r="5" spans="3:10" ht="30">
      <c r="D5" s="1" t="s">
        <v>3</v>
      </c>
      <c r="E5" s="3">
        <v>1009.62</v>
      </c>
    </row>
    <row r="6" spans="3:10" ht="30">
      <c r="D6" s="1" t="s">
        <v>4</v>
      </c>
      <c r="E6" s="3">
        <v>151</v>
      </c>
    </row>
    <row r="7" spans="3:10">
      <c r="D7" s="1" t="s">
        <v>5</v>
      </c>
      <c r="E7" s="3">
        <v>2065</v>
      </c>
    </row>
    <row r="8" spans="3:10">
      <c r="D8" s="1" t="s">
        <v>6</v>
      </c>
      <c r="E8" s="3">
        <v>479</v>
      </c>
    </row>
    <row r="9" spans="3:10">
      <c r="D9" s="1" t="s">
        <v>7</v>
      </c>
      <c r="E9" s="3">
        <v>2544</v>
      </c>
    </row>
    <row r="10" spans="3:10">
      <c r="D10" s="1" t="s">
        <v>8</v>
      </c>
      <c r="E10" s="3">
        <f>E9/E2</f>
        <v>0.2542517712173803</v>
      </c>
    </row>
    <row r="12" spans="3:10">
      <c r="G12" s="2" t="s">
        <v>17</v>
      </c>
      <c r="H12" s="69" t="s">
        <v>18</v>
      </c>
      <c r="I12" s="69"/>
      <c r="J12" s="69"/>
    </row>
    <row r="13" spans="3:10" s="5" customFormat="1" ht="45">
      <c r="C13" s="5" t="s">
        <v>16</v>
      </c>
      <c r="D13" s="5" t="s">
        <v>12</v>
      </c>
      <c r="E13" s="5" t="s">
        <v>13</v>
      </c>
      <c r="F13" s="5" t="s">
        <v>14</v>
      </c>
      <c r="G13" s="5" t="s">
        <v>15</v>
      </c>
      <c r="H13" s="5" t="s">
        <v>15</v>
      </c>
      <c r="I13" s="5" t="s">
        <v>28</v>
      </c>
      <c r="J13" s="5" t="s">
        <v>29</v>
      </c>
    </row>
    <row r="14" spans="3:10">
      <c r="C14">
        <v>1</v>
      </c>
      <c r="D14" s="1" t="s">
        <v>9</v>
      </c>
      <c r="E14" s="3" t="s">
        <v>10</v>
      </c>
      <c r="F14" t="s">
        <v>11</v>
      </c>
      <c r="G14" s="2">
        <v>4</v>
      </c>
      <c r="H14" s="2">
        <f>I14*J14</f>
        <v>4</v>
      </c>
      <c r="I14">
        <v>2</v>
      </c>
      <c r="J14">
        <v>2</v>
      </c>
    </row>
    <row r="15" spans="3:10">
      <c r="C15">
        <v>2</v>
      </c>
      <c r="D15" s="1" t="s">
        <v>19</v>
      </c>
      <c r="E15" s="3" t="s">
        <v>10</v>
      </c>
      <c r="F15" t="s">
        <v>20</v>
      </c>
      <c r="G15" s="2">
        <v>6</v>
      </c>
      <c r="H15" s="2">
        <f>I15*J15</f>
        <v>6</v>
      </c>
      <c r="I15">
        <v>3</v>
      </c>
      <c r="J15">
        <v>2</v>
      </c>
    </row>
    <row r="16" spans="3:10">
      <c r="C16">
        <v>3</v>
      </c>
      <c r="D16" s="1" t="s">
        <v>21</v>
      </c>
      <c r="E16" s="3" t="s">
        <v>10</v>
      </c>
      <c r="F16" t="s">
        <v>11</v>
      </c>
      <c r="G16" s="2">
        <v>169</v>
      </c>
      <c r="H16" s="2">
        <f t="shared" ref="H16:H20" si="0">I16*J16</f>
        <v>252</v>
      </c>
      <c r="I16">
        <v>30</v>
      </c>
      <c r="J16">
        <v>8.4</v>
      </c>
    </row>
    <row r="17" spans="3:10">
      <c r="C17">
        <v>4</v>
      </c>
      <c r="D17" s="1" t="s">
        <v>21</v>
      </c>
      <c r="E17" s="3" t="s">
        <v>10</v>
      </c>
      <c r="F17" t="s">
        <v>22</v>
      </c>
      <c r="G17" s="2">
        <v>169</v>
      </c>
      <c r="H17" s="2">
        <f t="shared" si="0"/>
        <v>252</v>
      </c>
      <c r="I17">
        <v>30</v>
      </c>
      <c r="J17">
        <v>8.4</v>
      </c>
    </row>
    <row r="18" spans="3:10" ht="30">
      <c r="C18">
        <v>5</v>
      </c>
      <c r="D18" s="1" t="s">
        <v>23</v>
      </c>
      <c r="E18" s="3" t="s">
        <v>24</v>
      </c>
      <c r="F18" t="s">
        <v>25</v>
      </c>
      <c r="G18" s="2">
        <v>1576</v>
      </c>
      <c r="H18" s="2">
        <f t="shared" si="0"/>
        <v>1602.5600000000002</v>
      </c>
      <c r="I18">
        <f>30-4.4</f>
        <v>25.6</v>
      </c>
      <c r="J18">
        <v>62.6</v>
      </c>
    </row>
    <row r="19" spans="3:10">
      <c r="C19">
        <v>6</v>
      </c>
      <c r="D19" s="1" t="s">
        <v>26</v>
      </c>
      <c r="E19" s="3" t="s">
        <v>10</v>
      </c>
      <c r="F19" t="s">
        <v>25</v>
      </c>
      <c r="G19" s="2">
        <v>310</v>
      </c>
      <c r="H19" s="2">
        <f t="shared" si="0"/>
        <v>275.44000000000005</v>
      </c>
      <c r="I19">
        <v>4.4000000000000004</v>
      </c>
      <c r="J19">
        <v>62.6</v>
      </c>
    </row>
    <row r="20" spans="3:10">
      <c r="C20">
        <v>7</v>
      </c>
      <c r="D20" s="1" t="s">
        <v>27</v>
      </c>
      <c r="E20" s="3" t="s">
        <v>10</v>
      </c>
      <c r="F20" t="s">
        <v>22</v>
      </c>
      <c r="G20" s="2">
        <v>310</v>
      </c>
      <c r="H20" s="2">
        <f t="shared" si="0"/>
        <v>154.44000000000003</v>
      </c>
      <c r="I20">
        <v>4.4000000000000004</v>
      </c>
      <c r="J20">
        <v>35.1</v>
      </c>
    </row>
    <row r="21" spans="3:10">
      <c r="G21" s="6">
        <f>SUM(G14:G20)</f>
        <v>2544</v>
      </c>
      <c r="H21" s="6">
        <f>SUM(H14:H20)</f>
        <v>2546.4400000000005</v>
      </c>
    </row>
    <row r="22" spans="3:10">
      <c r="F22" t="s">
        <v>89</v>
      </c>
    </row>
    <row r="23" spans="3:10">
      <c r="F23" t="s">
        <v>88</v>
      </c>
    </row>
    <row r="25" spans="3:10" s="7" customFormat="1">
      <c r="D25" s="4" t="s">
        <v>30</v>
      </c>
      <c r="E25" s="4" t="s">
        <v>35</v>
      </c>
      <c r="F25" s="4" t="s">
        <v>36</v>
      </c>
    </row>
    <row r="26" spans="3:10" ht="45">
      <c r="D26" s="1" t="s">
        <v>31</v>
      </c>
      <c r="E26" s="4" t="s">
        <v>37</v>
      </c>
      <c r="F26" s="4" t="s">
        <v>85</v>
      </c>
    </row>
    <row r="27" spans="3:10" ht="45">
      <c r="D27" s="1" t="s">
        <v>32</v>
      </c>
      <c r="E27" s="4" t="s">
        <v>38</v>
      </c>
      <c r="F27" s="4" t="s">
        <v>84</v>
      </c>
    </row>
    <row r="28" spans="3:10" ht="45">
      <c r="D28" s="1" t="s">
        <v>33</v>
      </c>
      <c r="E28" s="4" t="s">
        <v>38</v>
      </c>
      <c r="F28" s="4" t="s">
        <v>86</v>
      </c>
    </row>
    <row r="29" spans="3:10" ht="30">
      <c r="D29" s="1" t="s">
        <v>34</v>
      </c>
      <c r="E29" s="4" t="s">
        <v>39</v>
      </c>
      <c r="F29" s="4" t="s">
        <v>87</v>
      </c>
    </row>
  </sheetData>
  <phoneticPr fontId="3" type="noConversion"/>
  <pageMargins left="0.7" right="0.7" top="0.75" bottom="0.75" header="0.3" footer="0.3"/>
  <pageSetup orientation="portrait" horizontalDpi="300" verticalDpi="30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topLeftCell="A7" workbookViewId="0">
      <selection activeCell="B23" sqref="B23"/>
    </sheetView>
  </sheetViews>
  <sheetFormatPr defaultRowHeight="1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P6"/>
  <sheetViews>
    <sheetView topLeftCell="D28" workbookViewId="0">
      <selection activeCell="P6" sqref="P6"/>
    </sheetView>
  </sheetViews>
  <sheetFormatPr defaultRowHeight="15"/>
  <sheetData>
    <row r="6" spans="16:16">
      <c r="P6" t="s">
        <v>40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4:O24"/>
  <sheetViews>
    <sheetView workbookViewId="0">
      <selection activeCell="N8" sqref="N8"/>
    </sheetView>
  </sheetViews>
  <sheetFormatPr defaultRowHeight="15"/>
  <cols>
    <col min="1" max="1" width="6.7109375" style="7" customWidth="1"/>
    <col min="2" max="2" width="22.7109375" customWidth="1"/>
    <col min="3" max="3" width="11.85546875" customWidth="1"/>
    <col min="4" max="4" width="11.28515625" customWidth="1"/>
    <col min="5" max="5" width="7.28515625" customWidth="1"/>
    <col min="6" max="6" width="6.140625" customWidth="1"/>
    <col min="7" max="7" width="6.42578125" customWidth="1"/>
    <col min="8" max="8" width="11.28515625" customWidth="1"/>
    <col min="9" max="9" width="6.7109375" customWidth="1"/>
    <col min="10" max="10" width="13" customWidth="1"/>
    <col min="11" max="11" width="9" customWidth="1"/>
    <col min="12" max="12" width="15.42578125" customWidth="1"/>
    <col min="13" max="13" width="15.28515625" customWidth="1"/>
    <col min="14" max="14" width="13.7109375" customWidth="1"/>
    <col min="15" max="15" width="14.140625" customWidth="1"/>
  </cols>
  <sheetData>
    <row r="4" spans="1:15">
      <c r="I4">
        <v>2021</v>
      </c>
    </row>
    <row r="5" spans="1:15" ht="67.5" customHeight="1">
      <c r="A5" s="56" t="s">
        <v>73</v>
      </c>
      <c r="B5" s="56" t="s">
        <v>74</v>
      </c>
      <c r="C5" s="57" t="s">
        <v>75</v>
      </c>
      <c r="D5" s="57" t="s">
        <v>14</v>
      </c>
      <c r="E5" s="56" t="s">
        <v>76</v>
      </c>
      <c r="F5" s="58" t="s">
        <v>77</v>
      </c>
      <c r="G5" s="59" t="s">
        <v>78</v>
      </c>
      <c r="H5" s="60" t="s">
        <v>79</v>
      </c>
      <c r="I5" s="59" t="s">
        <v>80</v>
      </c>
      <c r="J5" s="22" t="s">
        <v>55</v>
      </c>
      <c r="K5" s="22" t="s">
        <v>56</v>
      </c>
      <c r="L5" s="60" t="s">
        <v>81</v>
      </c>
      <c r="M5" s="60" t="s">
        <v>58</v>
      </c>
      <c r="N5" s="60" t="s">
        <v>82</v>
      </c>
      <c r="O5" s="61" t="s">
        <v>72</v>
      </c>
    </row>
    <row r="6" spans="1:15" ht="16.5">
      <c r="A6" s="7">
        <v>1</v>
      </c>
      <c r="B6" s="1" t="s">
        <v>9</v>
      </c>
      <c r="C6" s="3" t="s">
        <v>10</v>
      </c>
      <c r="D6" t="s">
        <v>11</v>
      </c>
      <c r="E6" s="2">
        <v>4</v>
      </c>
      <c r="F6">
        <v>2015</v>
      </c>
      <c r="G6">
        <v>50</v>
      </c>
      <c r="H6">
        <v>10000</v>
      </c>
      <c r="I6">
        <f t="shared" ref="I6:I12" si="0">$I$4-F6</f>
        <v>6</v>
      </c>
      <c r="J6" s="62">
        <f>IF(I6&gt;=5,90*I6/G6,0)</f>
        <v>10.8</v>
      </c>
      <c r="K6" s="26">
        <f>H6/100*J6</f>
        <v>1080</v>
      </c>
      <c r="L6" s="26">
        <f>ROUND((H6-K6),0)</f>
        <v>8920</v>
      </c>
      <c r="M6" s="26">
        <f>O6-N6</f>
        <v>4320</v>
      </c>
      <c r="N6" s="63">
        <f>E6*L6</f>
        <v>35680</v>
      </c>
      <c r="O6" s="64">
        <f>E6*H6</f>
        <v>40000</v>
      </c>
    </row>
    <row r="7" spans="1:15" ht="16.5">
      <c r="A7" s="7">
        <v>2</v>
      </c>
      <c r="B7" s="1" t="s">
        <v>83</v>
      </c>
      <c r="C7" s="3" t="s">
        <v>10</v>
      </c>
      <c r="D7" t="s">
        <v>20</v>
      </c>
      <c r="E7" s="2">
        <v>6</v>
      </c>
      <c r="F7">
        <v>2015</v>
      </c>
      <c r="G7">
        <v>50</v>
      </c>
      <c r="I7">
        <f t="shared" si="0"/>
        <v>6</v>
      </c>
      <c r="J7" s="62">
        <f t="shared" ref="J7:J12" si="1">IF(I7&gt;=5,90*I7/G7,0)</f>
        <v>10.8</v>
      </c>
      <c r="K7" s="26">
        <f t="shared" ref="K7:K12" si="2">H7/100*J7</f>
        <v>0</v>
      </c>
      <c r="L7" s="26"/>
      <c r="M7" s="26">
        <f t="shared" ref="M7:M13" si="3">O7-N7</f>
        <v>30000</v>
      </c>
      <c r="N7" s="63">
        <v>270000</v>
      </c>
      <c r="O7" s="64">
        <f>30000*10</f>
        <v>300000</v>
      </c>
    </row>
    <row r="8" spans="1:15" ht="16.5">
      <c r="A8" s="7">
        <v>3</v>
      </c>
      <c r="B8" s="1" t="s">
        <v>21</v>
      </c>
      <c r="C8" s="3" t="s">
        <v>10</v>
      </c>
      <c r="D8" t="s">
        <v>11</v>
      </c>
      <c r="E8" s="2">
        <v>169</v>
      </c>
      <c r="F8">
        <v>2015</v>
      </c>
      <c r="G8">
        <v>50</v>
      </c>
      <c r="H8">
        <v>17000</v>
      </c>
      <c r="I8">
        <f t="shared" si="0"/>
        <v>6</v>
      </c>
      <c r="J8" s="62">
        <f t="shared" si="1"/>
        <v>10.8</v>
      </c>
      <c r="K8" s="26">
        <f t="shared" si="2"/>
        <v>1836.0000000000002</v>
      </c>
      <c r="L8" s="26">
        <f t="shared" ref="L8:L12" si="4">ROUND((H8-K8),0)</f>
        <v>15164</v>
      </c>
      <c r="M8" s="26">
        <f t="shared" si="3"/>
        <v>310284</v>
      </c>
      <c r="N8" s="63">
        <f t="shared" ref="N8:N12" si="5">E8*L8</f>
        <v>2562716</v>
      </c>
      <c r="O8" s="64">
        <f t="shared" ref="O8:O12" si="6">E8*H8</f>
        <v>2873000</v>
      </c>
    </row>
    <row r="9" spans="1:15" ht="16.5">
      <c r="A9" s="7">
        <v>4</v>
      </c>
      <c r="B9" s="1" t="s">
        <v>21</v>
      </c>
      <c r="C9" s="3" t="s">
        <v>10</v>
      </c>
      <c r="D9" t="s">
        <v>22</v>
      </c>
      <c r="E9" s="2">
        <v>169</v>
      </c>
      <c r="F9">
        <v>2015</v>
      </c>
      <c r="G9">
        <v>50</v>
      </c>
      <c r="H9">
        <v>17000</v>
      </c>
      <c r="I9">
        <f t="shared" si="0"/>
        <v>6</v>
      </c>
      <c r="J9" s="62">
        <f t="shared" si="1"/>
        <v>10.8</v>
      </c>
      <c r="K9" s="26">
        <f t="shared" si="2"/>
        <v>1836.0000000000002</v>
      </c>
      <c r="L9" s="26">
        <f t="shared" si="4"/>
        <v>15164</v>
      </c>
      <c r="M9" s="26">
        <f t="shared" si="3"/>
        <v>310284</v>
      </c>
      <c r="N9" s="63">
        <f t="shared" si="5"/>
        <v>2562716</v>
      </c>
      <c r="O9" s="64">
        <f t="shared" si="6"/>
        <v>2873000</v>
      </c>
    </row>
    <row r="10" spans="1:15" ht="30">
      <c r="A10" s="7">
        <v>5</v>
      </c>
      <c r="B10" s="1" t="s">
        <v>23</v>
      </c>
      <c r="C10" s="3" t="s">
        <v>24</v>
      </c>
      <c r="D10" t="s">
        <v>25</v>
      </c>
      <c r="E10" s="2">
        <v>1576</v>
      </c>
      <c r="F10">
        <v>2015</v>
      </c>
      <c r="G10">
        <v>50</v>
      </c>
      <c r="H10">
        <v>15000</v>
      </c>
      <c r="I10">
        <f t="shared" si="0"/>
        <v>6</v>
      </c>
      <c r="J10" s="62">
        <f t="shared" si="1"/>
        <v>10.8</v>
      </c>
      <c r="K10" s="26">
        <f t="shared" si="2"/>
        <v>1620</v>
      </c>
      <c r="L10" s="26">
        <f t="shared" si="4"/>
        <v>13380</v>
      </c>
      <c r="M10" s="26">
        <f t="shared" si="3"/>
        <v>2553120</v>
      </c>
      <c r="N10" s="63">
        <f t="shared" si="5"/>
        <v>21086880</v>
      </c>
      <c r="O10" s="64">
        <f t="shared" si="6"/>
        <v>23640000</v>
      </c>
    </row>
    <row r="11" spans="1:15" ht="16.5">
      <c r="A11" s="7">
        <v>6</v>
      </c>
      <c r="B11" s="1" t="s">
        <v>26</v>
      </c>
      <c r="C11" s="3" t="s">
        <v>10</v>
      </c>
      <c r="D11" t="s">
        <v>25</v>
      </c>
      <c r="E11" s="2">
        <v>310</v>
      </c>
      <c r="F11">
        <v>2015</v>
      </c>
      <c r="G11">
        <v>50</v>
      </c>
      <c r="H11">
        <v>12000</v>
      </c>
      <c r="I11">
        <f t="shared" si="0"/>
        <v>6</v>
      </c>
      <c r="J11" s="62">
        <f t="shared" si="1"/>
        <v>10.8</v>
      </c>
      <c r="K11" s="26">
        <f t="shared" si="2"/>
        <v>1296</v>
      </c>
      <c r="L11" s="26">
        <f t="shared" si="4"/>
        <v>10704</v>
      </c>
      <c r="M11" s="26">
        <f t="shared" si="3"/>
        <v>401760</v>
      </c>
      <c r="N11" s="63">
        <f t="shared" si="5"/>
        <v>3318240</v>
      </c>
      <c r="O11" s="64">
        <f t="shared" si="6"/>
        <v>3720000</v>
      </c>
    </row>
    <row r="12" spans="1:15" ht="16.5">
      <c r="A12" s="7">
        <v>7</v>
      </c>
      <c r="B12" s="1" t="s">
        <v>27</v>
      </c>
      <c r="C12" s="3" t="s">
        <v>10</v>
      </c>
      <c r="D12" t="s">
        <v>22</v>
      </c>
      <c r="E12" s="2">
        <v>310</v>
      </c>
      <c r="F12">
        <v>2015</v>
      </c>
      <c r="G12">
        <v>50</v>
      </c>
      <c r="H12">
        <v>12000</v>
      </c>
      <c r="I12">
        <f t="shared" si="0"/>
        <v>6</v>
      </c>
      <c r="J12" s="62">
        <f t="shared" si="1"/>
        <v>10.8</v>
      </c>
      <c r="K12" s="26">
        <f t="shared" si="2"/>
        <v>1296</v>
      </c>
      <c r="L12" s="26">
        <f t="shared" si="4"/>
        <v>10704</v>
      </c>
      <c r="M12" s="26">
        <f t="shared" si="3"/>
        <v>401760</v>
      </c>
      <c r="N12" s="63">
        <f t="shared" si="5"/>
        <v>3318240</v>
      </c>
      <c r="O12" s="64">
        <f t="shared" si="6"/>
        <v>3720000</v>
      </c>
    </row>
    <row r="13" spans="1:15" ht="16.5">
      <c r="B13" s="1" t="s">
        <v>61</v>
      </c>
      <c r="M13" s="67">
        <f t="shared" si="3"/>
        <v>4011528</v>
      </c>
      <c r="N13" s="65">
        <f>SUM(N6:N12)</f>
        <v>33154472</v>
      </c>
      <c r="O13" s="66">
        <f>SUM(O6:O12)</f>
        <v>37166000</v>
      </c>
    </row>
    <row r="24" spans="14:14">
      <c r="N24">
        <f>10.8*30000</f>
        <v>324000</v>
      </c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N166"/>
  <sheetViews>
    <sheetView tabSelected="1" workbookViewId="0">
      <pane xSplit="2" ySplit="6" topLeftCell="C7" activePane="bottomRight" state="frozen"/>
      <selection pane="topRight" activeCell="C1" sqref="C1"/>
      <selection pane="bottomLeft" activeCell="A7" sqref="A7"/>
      <selection pane="bottomRight" activeCell="Q16" sqref="Q16"/>
    </sheetView>
  </sheetViews>
  <sheetFormatPr defaultColWidth="9.140625" defaultRowHeight="16.5"/>
  <cols>
    <col min="1" max="1" width="9.140625" style="8"/>
    <col min="2" max="2" width="21.7109375" style="48" customWidth="1"/>
    <col min="3" max="3" width="16.5703125" style="10" customWidth="1"/>
    <col min="4" max="4" width="15.140625" style="10" customWidth="1"/>
    <col min="5" max="5" width="14.42578125" style="10" customWidth="1"/>
    <col min="6" max="6" width="12" style="11" customWidth="1"/>
    <col min="7" max="7" width="12.7109375" style="11" customWidth="1"/>
    <col min="8" max="8" width="10.42578125" style="11" customWidth="1"/>
    <col min="9" max="9" width="13.85546875" style="10" customWidth="1"/>
    <col min="10" max="10" width="17.28515625" style="11" customWidth="1"/>
    <col min="11" max="11" width="15.42578125" style="10" customWidth="1"/>
    <col min="12" max="13" width="14.85546875" style="11" customWidth="1"/>
    <col min="14" max="14" width="14.85546875" style="11" bestFit="1" customWidth="1"/>
    <col min="15" max="16384" width="9.140625" style="10"/>
  </cols>
  <sheetData>
    <row r="1" spans="1:14">
      <c r="B1" s="9" t="s">
        <v>41</v>
      </c>
      <c r="J1" s="11" t="s">
        <v>43</v>
      </c>
    </row>
    <row r="2" spans="1:14">
      <c r="B2" s="68" t="s">
        <v>44</v>
      </c>
      <c r="C2" s="12">
        <f>Sheet1!E2</f>
        <v>10005.83</v>
      </c>
      <c r="D2" s="72"/>
      <c r="F2" s="13"/>
      <c r="G2" s="14"/>
      <c r="H2" s="10"/>
      <c r="I2" s="12">
        <f>C2</f>
        <v>10005.83</v>
      </c>
      <c r="J2" s="12">
        <v>433</v>
      </c>
      <c r="K2" s="15">
        <f>I2*J2</f>
        <v>4332524.3899999997</v>
      </c>
    </row>
    <row r="3" spans="1:14">
      <c r="B3" s="16" t="s">
        <v>42</v>
      </c>
      <c r="C3" s="77">
        <v>3500</v>
      </c>
      <c r="D3" s="80"/>
      <c r="F3" s="19"/>
      <c r="G3" s="18"/>
      <c r="H3" s="10"/>
      <c r="K3" s="15">
        <f>M16</f>
        <v>30500120</v>
      </c>
    </row>
    <row r="4" spans="1:14">
      <c r="B4" s="81" t="s">
        <v>64</v>
      </c>
      <c r="C4" s="12">
        <f>C2*C3</f>
        <v>35020405</v>
      </c>
      <c r="F4" s="20"/>
      <c r="G4" s="20"/>
      <c r="J4" s="11" t="s">
        <v>45</v>
      </c>
      <c r="K4" s="15">
        <f>K2+K3</f>
        <v>34832644.390000001</v>
      </c>
    </row>
    <row r="5" spans="1:14">
      <c r="B5" s="9" t="s">
        <v>46</v>
      </c>
    </row>
    <row r="6" spans="1:14" s="23" customFormat="1" ht="60">
      <c r="A6" s="21" t="s">
        <v>47</v>
      </c>
      <c r="B6" s="72" t="s">
        <v>48</v>
      </c>
      <c r="C6" s="72" t="s">
        <v>49</v>
      </c>
      <c r="D6" s="72" t="s">
        <v>50</v>
      </c>
      <c r="E6" s="72" t="s">
        <v>51</v>
      </c>
      <c r="F6" s="72" t="s">
        <v>52</v>
      </c>
      <c r="G6" s="73" t="s">
        <v>53</v>
      </c>
      <c r="H6" s="72" t="s">
        <v>54</v>
      </c>
      <c r="I6" s="73" t="s">
        <v>55</v>
      </c>
      <c r="J6" s="73" t="s">
        <v>56</v>
      </c>
      <c r="K6" s="72" t="s">
        <v>57</v>
      </c>
      <c r="L6" s="74" t="s">
        <v>58</v>
      </c>
      <c r="M6" s="72" t="s">
        <v>59</v>
      </c>
      <c r="N6" s="72" t="s">
        <v>60</v>
      </c>
    </row>
    <row r="7" spans="1:14" s="27" customFormat="1">
      <c r="A7" s="24">
        <v>1</v>
      </c>
      <c r="B7" s="85" t="s">
        <v>9</v>
      </c>
      <c r="C7" s="25">
        <v>4</v>
      </c>
      <c r="D7" s="25">
        <v>2015</v>
      </c>
      <c r="E7" s="25">
        <v>2025</v>
      </c>
      <c r="F7" s="25">
        <v>50</v>
      </c>
      <c r="G7" s="25">
        <v>10000</v>
      </c>
      <c r="H7" s="25">
        <f>E7-D7</f>
        <v>10</v>
      </c>
      <c r="I7" s="25">
        <f>IF(H7&gt;=5,90*H7/F7,0)</f>
        <v>18</v>
      </c>
      <c r="J7" s="25">
        <f t="shared" ref="J7:J15" si="0">G7/100*I7</f>
        <v>1800</v>
      </c>
      <c r="K7" s="25">
        <f>ROUND((G7-J7),0)</f>
        <v>8200</v>
      </c>
      <c r="L7" s="25">
        <f>N7-M7</f>
        <v>7200</v>
      </c>
      <c r="M7" s="25">
        <f t="shared" ref="M7:M15" si="1">ROUND((K7*C7),0)</f>
        <v>32800</v>
      </c>
      <c r="N7" s="25">
        <f>ROUND((C7*G7),0)</f>
        <v>40000</v>
      </c>
    </row>
    <row r="8" spans="1:14" s="27" customFormat="1">
      <c r="A8" s="28">
        <v>2</v>
      </c>
      <c r="B8" s="85" t="s">
        <v>83</v>
      </c>
      <c r="C8" s="25">
        <v>6</v>
      </c>
      <c r="D8" s="25">
        <v>2015</v>
      </c>
      <c r="E8" s="25">
        <v>2025</v>
      </c>
      <c r="F8" s="25">
        <v>50</v>
      </c>
      <c r="G8" s="25"/>
      <c r="H8" s="25">
        <f t="shared" ref="H8:H15" si="2">E8-D8</f>
        <v>10</v>
      </c>
      <c r="I8" s="25">
        <f>IF(H8&gt;=5,90*H8/F8,0)</f>
        <v>18</v>
      </c>
      <c r="J8" s="25">
        <f>G8/100*I8</f>
        <v>0</v>
      </c>
      <c r="K8" s="25">
        <f>ROUND((G8-J8),0)</f>
        <v>0</v>
      </c>
      <c r="L8" s="25">
        <f>N8-M8</f>
        <v>-270000</v>
      </c>
      <c r="M8" s="25">
        <v>270000</v>
      </c>
      <c r="N8" s="25">
        <f>ROUND((C8*G8),0)</f>
        <v>0</v>
      </c>
    </row>
    <row r="9" spans="1:14" s="27" customFormat="1" ht="17.25" customHeight="1">
      <c r="A9" s="24">
        <v>3</v>
      </c>
      <c r="B9" s="85" t="s">
        <v>21</v>
      </c>
      <c r="C9" s="25">
        <v>169</v>
      </c>
      <c r="D9" s="25">
        <v>2015</v>
      </c>
      <c r="E9" s="25">
        <v>2025</v>
      </c>
      <c r="F9" s="25">
        <v>50</v>
      </c>
      <c r="G9" s="25">
        <v>17000</v>
      </c>
      <c r="H9" s="25">
        <f>E9-D9</f>
        <v>10</v>
      </c>
      <c r="I9" s="25">
        <f>IF(H9&gt;=5,90*H9/F9,0)</f>
        <v>18</v>
      </c>
      <c r="J9" s="25">
        <f>G9/100*I9</f>
        <v>3060</v>
      </c>
      <c r="K9" s="25">
        <f>ROUND((G9-J9),0)</f>
        <v>13940</v>
      </c>
      <c r="L9" s="25">
        <f>N9-M9</f>
        <v>517140</v>
      </c>
      <c r="M9" s="25">
        <f>ROUND((K9*C9),0)</f>
        <v>2355860</v>
      </c>
      <c r="N9" s="25">
        <f>ROUND((C9*G9),0)</f>
        <v>2873000</v>
      </c>
    </row>
    <row r="10" spans="1:14" s="27" customFormat="1">
      <c r="A10" s="28">
        <v>4</v>
      </c>
      <c r="B10" s="85" t="s">
        <v>21</v>
      </c>
      <c r="C10" s="25">
        <v>169</v>
      </c>
      <c r="D10" s="25">
        <v>2015</v>
      </c>
      <c r="E10" s="25">
        <v>2025</v>
      </c>
      <c r="F10" s="25">
        <v>50</v>
      </c>
      <c r="G10" s="25">
        <v>17000</v>
      </c>
      <c r="H10" s="25">
        <f t="shared" si="2"/>
        <v>10</v>
      </c>
      <c r="I10" s="25">
        <f t="shared" ref="I10:I15" si="3">IF(H10&gt;=5,90*H10/F10,0)</f>
        <v>18</v>
      </c>
      <c r="J10" s="25">
        <f t="shared" si="0"/>
        <v>3060</v>
      </c>
      <c r="K10" s="25">
        <f t="shared" ref="K10:K15" si="4">ROUND((G10-J10),0)</f>
        <v>13940</v>
      </c>
      <c r="L10" s="25">
        <f t="shared" ref="L10:L15" si="5">N10-M10</f>
        <v>517140</v>
      </c>
      <c r="M10" s="25">
        <f t="shared" si="1"/>
        <v>2355860</v>
      </c>
      <c r="N10" s="25">
        <f>ROUND((C10*G10),0)</f>
        <v>2873000</v>
      </c>
    </row>
    <row r="11" spans="1:14" s="27" customFormat="1" ht="33">
      <c r="A11" s="24">
        <v>5</v>
      </c>
      <c r="B11" s="85" t="s">
        <v>23</v>
      </c>
      <c r="C11" s="25">
        <v>1576</v>
      </c>
      <c r="D11" s="25">
        <v>2015</v>
      </c>
      <c r="E11" s="25">
        <v>2025</v>
      </c>
      <c r="F11" s="25">
        <v>50</v>
      </c>
      <c r="G11" s="25">
        <v>15000</v>
      </c>
      <c r="H11" s="25">
        <f t="shared" si="2"/>
        <v>10</v>
      </c>
      <c r="I11" s="25">
        <f t="shared" si="3"/>
        <v>18</v>
      </c>
      <c r="J11" s="25">
        <f t="shared" si="0"/>
        <v>2700</v>
      </c>
      <c r="K11" s="25">
        <f t="shared" si="4"/>
        <v>12300</v>
      </c>
      <c r="L11" s="25">
        <f t="shared" si="5"/>
        <v>4255200</v>
      </c>
      <c r="M11" s="25">
        <f t="shared" si="1"/>
        <v>19384800</v>
      </c>
      <c r="N11" s="25">
        <f t="shared" ref="N11:N15" si="6">ROUND((C11*G11),0)</f>
        <v>23640000</v>
      </c>
    </row>
    <row r="12" spans="1:14">
      <c r="A12" s="29">
        <v>6</v>
      </c>
      <c r="B12" s="85" t="s">
        <v>26</v>
      </c>
      <c r="C12" s="25">
        <v>310</v>
      </c>
      <c r="D12" s="25">
        <v>2015</v>
      </c>
      <c r="E12" s="25">
        <v>2025</v>
      </c>
      <c r="F12" s="25">
        <v>50</v>
      </c>
      <c r="G12" s="25">
        <v>12000</v>
      </c>
      <c r="H12" s="25">
        <f t="shared" si="2"/>
        <v>10</v>
      </c>
      <c r="I12" s="25">
        <f t="shared" si="3"/>
        <v>18</v>
      </c>
      <c r="J12" s="25">
        <f t="shared" si="0"/>
        <v>2160</v>
      </c>
      <c r="K12" s="25">
        <f t="shared" si="4"/>
        <v>9840</v>
      </c>
      <c r="L12" s="25">
        <f t="shared" si="5"/>
        <v>669600</v>
      </c>
      <c r="M12" s="25">
        <f t="shared" si="1"/>
        <v>3050400</v>
      </c>
      <c r="N12" s="25">
        <f t="shared" si="6"/>
        <v>3720000</v>
      </c>
    </row>
    <row r="13" spans="1:14">
      <c r="A13" s="16">
        <v>7</v>
      </c>
      <c r="B13" s="85" t="s">
        <v>27</v>
      </c>
      <c r="C13" s="25">
        <v>310</v>
      </c>
      <c r="D13" s="25">
        <v>2015</v>
      </c>
      <c r="E13" s="25">
        <v>2025</v>
      </c>
      <c r="F13" s="25">
        <v>50</v>
      </c>
      <c r="G13" s="25">
        <v>12000</v>
      </c>
      <c r="H13" s="25">
        <f t="shared" si="2"/>
        <v>10</v>
      </c>
      <c r="I13" s="25">
        <f t="shared" si="3"/>
        <v>18</v>
      </c>
      <c r="J13" s="25">
        <f t="shared" si="0"/>
        <v>2160</v>
      </c>
      <c r="K13" s="25">
        <f t="shared" si="4"/>
        <v>9840</v>
      </c>
      <c r="L13" s="25">
        <f t="shared" si="5"/>
        <v>669600</v>
      </c>
      <c r="M13" s="25">
        <f t="shared" si="1"/>
        <v>3050400</v>
      </c>
      <c r="N13" s="25">
        <f t="shared" si="6"/>
        <v>3720000</v>
      </c>
    </row>
    <row r="14" spans="1:14">
      <c r="A14" s="16"/>
      <c r="B14" s="25"/>
      <c r="C14" s="25"/>
      <c r="D14" s="25"/>
      <c r="E14" s="25"/>
      <c r="F14" s="25"/>
      <c r="G14" s="25"/>
      <c r="H14" s="76"/>
      <c r="I14" s="76"/>
      <c r="J14" s="77"/>
      <c r="K14" s="77"/>
      <c r="L14" s="75"/>
      <c r="M14" s="75"/>
      <c r="N14" s="75"/>
    </row>
    <row r="15" spans="1:14">
      <c r="A15" s="29">
        <v>26</v>
      </c>
      <c r="B15" s="25"/>
      <c r="C15" s="25"/>
      <c r="D15" s="25"/>
      <c r="E15" s="25"/>
      <c r="F15" s="25"/>
      <c r="G15" s="25"/>
      <c r="H15" s="76">
        <f t="shared" si="2"/>
        <v>0</v>
      </c>
      <c r="I15" s="76">
        <f t="shared" si="3"/>
        <v>0</v>
      </c>
      <c r="J15" s="77">
        <f t="shared" si="0"/>
        <v>0</v>
      </c>
      <c r="K15" s="77">
        <f t="shared" si="4"/>
        <v>0</v>
      </c>
      <c r="L15" s="78">
        <f t="shared" si="5"/>
        <v>0</v>
      </c>
      <c r="M15" s="77">
        <f t="shared" si="1"/>
        <v>0</v>
      </c>
      <c r="N15" s="77">
        <f t="shared" si="6"/>
        <v>0</v>
      </c>
    </row>
    <row r="16" spans="1:14" s="35" customFormat="1">
      <c r="A16" s="31"/>
      <c r="B16" s="32" t="s">
        <v>61</v>
      </c>
      <c r="C16" s="33">
        <f>SUM(C7:C15)</f>
        <v>2544</v>
      </c>
      <c r="D16" s="33"/>
      <c r="E16" s="33"/>
      <c r="F16" s="33"/>
      <c r="G16" s="33"/>
      <c r="H16" s="33"/>
      <c r="I16" s="33"/>
      <c r="J16" s="34"/>
      <c r="K16" s="34"/>
      <c r="L16" s="79">
        <f>SUM(L7:L15)</f>
        <v>6365880</v>
      </c>
      <c r="M16" s="79">
        <f>SUM(M7:M15)</f>
        <v>30500120</v>
      </c>
      <c r="N16" s="79">
        <f>Building!O13</f>
        <v>37166000</v>
      </c>
    </row>
    <row r="17" spans="1:14">
      <c r="B17" s="36"/>
      <c r="C17" s="27"/>
      <c r="D17" s="27"/>
      <c r="E17" s="27"/>
      <c r="F17" s="37"/>
      <c r="G17" s="37"/>
      <c r="H17" s="37"/>
      <c r="I17" s="27"/>
      <c r="J17" s="38"/>
      <c r="K17" s="39"/>
      <c r="L17" s="37"/>
      <c r="M17" s="40"/>
      <c r="N17" s="40"/>
    </row>
    <row r="18" spans="1:14">
      <c r="B18" s="82" t="s">
        <v>62</v>
      </c>
      <c r="C18" s="82"/>
      <c r="D18" s="27"/>
      <c r="E18" s="27"/>
      <c r="F18" s="37"/>
      <c r="G18" s="37"/>
      <c r="H18" s="37"/>
      <c r="I18" s="27"/>
      <c r="J18" s="38" t="s">
        <v>100</v>
      </c>
      <c r="K18" s="39"/>
      <c r="L18" s="37"/>
      <c r="M18" s="40"/>
      <c r="N18" s="40"/>
    </row>
    <row r="19" spans="1:14">
      <c r="B19" s="41" t="s">
        <v>63</v>
      </c>
      <c r="C19" s="42">
        <v>0</v>
      </c>
      <c r="D19" s="27"/>
      <c r="E19" s="27"/>
      <c r="F19" s="37"/>
      <c r="G19" s="37"/>
      <c r="H19" s="37"/>
      <c r="I19" s="27"/>
      <c r="J19" s="38"/>
      <c r="K19" s="39"/>
      <c r="L19" s="37"/>
      <c r="M19" s="40"/>
      <c r="N19" s="40"/>
    </row>
    <row r="20" spans="1:14">
      <c r="B20" s="16" t="s">
        <v>42</v>
      </c>
      <c r="C20" s="17">
        <v>0</v>
      </c>
      <c r="D20" s="27"/>
      <c r="E20" s="27"/>
      <c r="F20" s="37"/>
      <c r="G20" s="37"/>
      <c r="H20" s="37"/>
      <c r="I20" s="27"/>
      <c r="J20" s="38"/>
      <c r="K20" s="39"/>
      <c r="L20" s="37"/>
      <c r="M20" s="40"/>
      <c r="N20" s="40"/>
    </row>
    <row r="21" spans="1:14">
      <c r="B21" s="16" t="s">
        <v>64</v>
      </c>
      <c r="C21" s="30">
        <f>ROUND((C19*C20),0)</f>
        <v>0</v>
      </c>
      <c r="D21" s="27"/>
      <c r="E21" s="27"/>
      <c r="F21" s="37"/>
      <c r="G21" s="37"/>
      <c r="H21" s="37"/>
      <c r="I21" s="27"/>
      <c r="J21" s="38"/>
      <c r="K21" s="39"/>
      <c r="L21" s="37"/>
      <c r="M21" s="40"/>
      <c r="N21" s="40"/>
    </row>
    <row r="22" spans="1:14">
      <c r="B22" s="36"/>
      <c r="C22" s="27"/>
      <c r="D22" s="27"/>
      <c r="E22" s="27"/>
      <c r="F22" s="37"/>
      <c r="G22" s="37"/>
      <c r="H22" s="37"/>
      <c r="I22" s="27"/>
      <c r="J22" s="38"/>
      <c r="K22" s="39"/>
      <c r="L22" s="37"/>
      <c r="M22" s="40"/>
      <c r="N22" s="40"/>
    </row>
    <row r="23" spans="1:14" ht="22.5" customHeight="1">
      <c r="B23" s="83" t="s">
        <v>65</v>
      </c>
      <c r="C23" s="84"/>
      <c r="D23" s="27"/>
      <c r="E23" s="27"/>
      <c r="F23" s="37"/>
      <c r="G23" s="37"/>
      <c r="H23" s="37"/>
      <c r="I23" s="27"/>
      <c r="J23" s="37"/>
      <c r="K23" s="27"/>
      <c r="L23" s="37"/>
      <c r="M23" s="37"/>
      <c r="N23" s="37"/>
    </row>
    <row r="24" spans="1:14">
      <c r="B24" s="41" t="s">
        <v>44</v>
      </c>
      <c r="C24" s="42">
        <v>0</v>
      </c>
      <c r="E24" s="43"/>
      <c r="F24" s="43"/>
      <c r="G24" s="44"/>
      <c r="H24" s="45"/>
      <c r="K24" s="46"/>
    </row>
    <row r="25" spans="1:14">
      <c r="B25" s="16" t="s">
        <v>42</v>
      </c>
      <c r="C25" s="17">
        <v>0</v>
      </c>
      <c r="D25" s="11"/>
      <c r="E25" s="11"/>
      <c r="G25" s="38"/>
      <c r="H25" s="45"/>
      <c r="K25" s="46"/>
    </row>
    <row r="26" spans="1:14">
      <c r="B26" s="16" t="s">
        <v>64</v>
      </c>
      <c r="C26" s="30">
        <f>ROUND((C24*C25),0)</f>
        <v>0</v>
      </c>
      <c r="D26" s="11"/>
      <c r="E26" s="11"/>
      <c r="H26" s="45"/>
      <c r="K26" s="46"/>
    </row>
    <row r="27" spans="1:14">
      <c r="B27" s="8"/>
      <c r="C27" s="15"/>
      <c r="D27" s="11"/>
      <c r="E27" s="11"/>
      <c r="H27" s="45"/>
      <c r="K27" s="46"/>
    </row>
    <row r="28" spans="1:14">
      <c r="C28" s="47" t="s">
        <v>66</v>
      </c>
      <c r="D28" s="11"/>
      <c r="E28" s="11"/>
      <c r="H28" s="45"/>
      <c r="K28" s="46"/>
    </row>
    <row r="29" spans="1:14">
      <c r="B29" s="48" t="s">
        <v>41</v>
      </c>
      <c r="C29" s="15">
        <f>C4</f>
        <v>35020405</v>
      </c>
      <c r="D29" s="11"/>
      <c r="E29" s="11"/>
      <c r="H29" s="49"/>
      <c r="K29" s="12"/>
    </row>
    <row r="30" spans="1:14">
      <c r="B30" s="48" t="s">
        <v>46</v>
      </c>
      <c r="C30" s="15">
        <f>M16</f>
        <v>30500120</v>
      </c>
      <c r="D30" s="11"/>
      <c r="E30" s="11"/>
      <c r="G30" s="12"/>
      <c r="H30" s="49"/>
      <c r="K30" s="49"/>
    </row>
    <row r="31" spans="1:14" ht="33">
      <c r="B31" s="48" t="s">
        <v>67</v>
      </c>
      <c r="C31" s="15">
        <f>C21</f>
        <v>0</v>
      </c>
      <c r="D31" s="11"/>
      <c r="E31" s="11"/>
      <c r="G31" s="15"/>
      <c r="H31" s="49"/>
      <c r="K31" s="49"/>
    </row>
    <row r="32" spans="1:14">
      <c r="A32" s="10"/>
      <c r="B32" s="48" t="s">
        <v>68</v>
      </c>
      <c r="C32" s="15">
        <f>C26</f>
        <v>0</v>
      </c>
      <c r="D32" s="11"/>
      <c r="E32" s="11"/>
      <c r="G32" s="15"/>
      <c r="H32" s="49"/>
      <c r="K32" s="49"/>
    </row>
    <row r="33" spans="1:14">
      <c r="A33" s="10"/>
      <c r="B33" s="9" t="s">
        <v>69</v>
      </c>
      <c r="C33" s="49">
        <f>C29+C30+C31+C32</f>
        <v>65520525</v>
      </c>
      <c r="D33" s="11"/>
      <c r="E33" s="11"/>
    </row>
    <row r="34" spans="1:14">
      <c r="A34" s="10"/>
      <c r="B34" s="9" t="s">
        <v>70</v>
      </c>
      <c r="C34" s="49">
        <f>C33*0.9</f>
        <v>58968472.5</v>
      </c>
      <c r="D34" s="11"/>
      <c r="E34" s="11"/>
      <c r="H34" s="50"/>
    </row>
    <row r="35" spans="1:14">
      <c r="A35" s="10"/>
      <c r="B35" s="9" t="s">
        <v>71</v>
      </c>
      <c r="C35" s="49">
        <f>C33*0.8</f>
        <v>52416420</v>
      </c>
      <c r="D35" s="11"/>
      <c r="E35" s="11"/>
      <c r="H35" s="50"/>
    </row>
    <row r="36" spans="1:14">
      <c r="A36" s="10"/>
      <c r="B36" s="9" t="s">
        <v>72</v>
      </c>
      <c r="C36" s="49">
        <f>N16*0.85</f>
        <v>31591100</v>
      </c>
      <c r="D36" s="11"/>
      <c r="E36" s="11"/>
      <c r="N36" s="51"/>
    </row>
    <row r="37" spans="1:14">
      <c r="A37" s="10"/>
      <c r="D37" s="11"/>
      <c r="E37" s="11"/>
      <c r="N37" s="51"/>
    </row>
    <row r="38" spans="1:14">
      <c r="A38" s="10"/>
      <c r="D38" s="11"/>
      <c r="E38" s="11"/>
      <c r="N38" s="51"/>
    </row>
    <row r="39" spans="1:14">
      <c r="A39" s="10"/>
    </row>
    <row r="40" spans="1:14">
      <c r="A40" s="10"/>
    </row>
    <row r="41" spans="1:14">
      <c r="A41" s="10"/>
      <c r="B41" s="10"/>
    </row>
    <row r="42" spans="1:14">
      <c r="A42" s="10"/>
      <c r="B42" s="10"/>
    </row>
    <row r="43" spans="1:14">
      <c r="A43" s="10"/>
      <c r="B43" s="10"/>
    </row>
    <row r="44" spans="1:14">
      <c r="A44" s="10"/>
      <c r="B44" s="10"/>
    </row>
    <row r="45" spans="1:14">
      <c r="A45" s="10"/>
      <c r="B45" s="10"/>
    </row>
    <row r="46" spans="1:14">
      <c r="A46" s="10"/>
      <c r="B46" s="10"/>
    </row>
    <row r="47" spans="1:14">
      <c r="A47" s="10"/>
      <c r="B47" s="10"/>
    </row>
    <row r="48" spans="1:14">
      <c r="A48" s="10"/>
      <c r="B48" s="10"/>
    </row>
    <row r="49" spans="1:9">
      <c r="A49" s="10"/>
      <c r="B49" s="10"/>
    </row>
    <row r="50" spans="1:9">
      <c r="A50" s="10"/>
      <c r="B50" s="10"/>
      <c r="F50" s="52"/>
      <c r="G50" s="52"/>
      <c r="H50" s="52"/>
      <c r="I50" s="9"/>
    </row>
    <row r="51" spans="1:9">
      <c r="A51" s="10"/>
      <c r="B51" s="10"/>
      <c r="F51" s="51"/>
      <c r="G51" s="10"/>
      <c r="H51" s="51"/>
    </row>
    <row r="52" spans="1:9">
      <c r="A52" s="10"/>
      <c r="B52" s="10"/>
      <c r="F52" s="51"/>
      <c r="G52" s="51"/>
      <c r="H52" s="53"/>
    </row>
    <row r="53" spans="1:9">
      <c r="A53" s="10"/>
      <c r="B53" s="10"/>
      <c r="F53" s="51"/>
      <c r="G53" s="51"/>
      <c r="H53" s="51"/>
    </row>
    <row r="54" spans="1:9">
      <c r="A54" s="10"/>
      <c r="B54" s="10"/>
      <c r="F54" s="51"/>
      <c r="G54" s="54"/>
      <c r="H54" s="51"/>
    </row>
    <row r="55" spans="1:9">
      <c r="A55" s="10"/>
      <c r="B55" s="10"/>
      <c r="F55" s="51"/>
      <c r="G55" s="51"/>
      <c r="H55" s="51"/>
    </row>
    <row r="56" spans="1:9">
      <c r="A56" s="10"/>
      <c r="B56" s="10"/>
      <c r="F56" s="51"/>
      <c r="G56" s="51"/>
      <c r="H56" s="51"/>
    </row>
    <row r="57" spans="1:9">
      <c r="A57" s="10"/>
      <c r="B57" s="10"/>
      <c r="F57" s="51"/>
      <c r="G57" s="51"/>
      <c r="H57" s="51"/>
    </row>
    <row r="58" spans="1:9">
      <c r="A58" s="10"/>
      <c r="B58" s="10"/>
      <c r="F58" s="51"/>
      <c r="G58" s="51"/>
      <c r="H58" s="51"/>
    </row>
    <row r="59" spans="1:9">
      <c r="A59" s="10"/>
      <c r="B59" s="10"/>
      <c r="F59" s="51"/>
      <c r="G59" s="51"/>
      <c r="H59" s="51"/>
    </row>
    <row r="60" spans="1:9">
      <c r="A60" s="10"/>
      <c r="B60" s="10"/>
      <c r="F60" s="51"/>
      <c r="G60" s="51"/>
      <c r="H60" s="51"/>
    </row>
    <row r="61" spans="1:9">
      <c r="A61" s="10"/>
      <c r="B61" s="10"/>
    </row>
    <row r="62" spans="1:9">
      <c r="A62" s="10"/>
      <c r="B62" s="10"/>
    </row>
    <row r="63" spans="1:9">
      <c r="A63" s="10"/>
      <c r="B63" s="10"/>
    </row>
    <row r="64" spans="1:9">
      <c r="A64" s="10"/>
      <c r="B64" s="10"/>
    </row>
    <row r="65" spans="1:6">
      <c r="A65" s="10"/>
      <c r="B65" s="10"/>
    </row>
    <row r="66" spans="1:6">
      <c r="A66" s="10"/>
      <c r="B66" s="10"/>
      <c r="F66" s="55"/>
    </row>
    <row r="67" spans="1:6">
      <c r="A67" s="10"/>
      <c r="B67" s="10"/>
      <c r="F67" s="55"/>
    </row>
    <row r="68" spans="1:6">
      <c r="A68" s="10"/>
      <c r="B68" s="10"/>
      <c r="F68" s="55"/>
    </row>
    <row r="69" spans="1:6">
      <c r="A69" s="10"/>
      <c r="B69" s="10"/>
      <c r="F69" s="55"/>
    </row>
    <row r="70" spans="1:6">
      <c r="A70" s="10"/>
      <c r="B70" s="10"/>
      <c r="F70" s="55"/>
    </row>
    <row r="71" spans="1:6">
      <c r="A71" s="10"/>
      <c r="B71" s="10"/>
      <c r="F71" s="55"/>
    </row>
    <row r="72" spans="1:6">
      <c r="A72" s="10"/>
      <c r="B72" s="10"/>
      <c r="F72" s="55"/>
    </row>
    <row r="73" spans="1:6">
      <c r="A73" s="10"/>
      <c r="B73" s="10"/>
      <c r="F73" s="55"/>
    </row>
    <row r="74" spans="1:6">
      <c r="A74" s="10"/>
      <c r="B74" s="10"/>
      <c r="F74" s="55"/>
    </row>
    <row r="75" spans="1:6">
      <c r="A75" s="10"/>
      <c r="B75" s="10"/>
      <c r="F75" s="55"/>
    </row>
    <row r="76" spans="1:6">
      <c r="A76" s="10"/>
      <c r="B76" s="10"/>
    </row>
    <row r="77" spans="1:6">
      <c r="A77" s="10"/>
      <c r="B77" s="10"/>
    </row>
    <row r="78" spans="1:6">
      <c r="A78" s="10"/>
      <c r="B78" s="10"/>
    </row>
    <row r="79" spans="1:6">
      <c r="A79" s="10"/>
      <c r="B79" s="10"/>
    </row>
    <row r="80" spans="1:6">
      <c r="A80" s="10"/>
      <c r="B80" s="10"/>
    </row>
    <row r="81" spans="1:2">
      <c r="A81" s="10"/>
      <c r="B81" s="10"/>
    </row>
    <row r="82" spans="1:2">
      <c r="A82" s="10"/>
      <c r="B82" s="10"/>
    </row>
    <row r="83" spans="1:2">
      <c r="A83" s="10"/>
      <c r="B83" s="10"/>
    </row>
    <row r="84" spans="1:2">
      <c r="A84" s="10"/>
      <c r="B84" s="10"/>
    </row>
    <row r="85" spans="1:2">
      <c r="A85" s="10"/>
      <c r="B85" s="10"/>
    </row>
    <row r="86" spans="1:2">
      <c r="A86" s="10"/>
      <c r="B86" s="10"/>
    </row>
    <row r="87" spans="1:2">
      <c r="A87" s="10"/>
      <c r="B87" s="10"/>
    </row>
    <row r="88" spans="1:2">
      <c r="A88" s="10"/>
      <c r="B88" s="10"/>
    </row>
    <row r="89" spans="1:2">
      <c r="A89" s="10"/>
      <c r="B89" s="10"/>
    </row>
    <row r="90" spans="1:2">
      <c r="A90" s="10"/>
      <c r="B90" s="10"/>
    </row>
    <row r="91" spans="1:2">
      <c r="A91" s="10"/>
      <c r="B91" s="10"/>
    </row>
    <row r="92" spans="1:2">
      <c r="A92" s="10"/>
      <c r="B92" s="10"/>
    </row>
    <row r="93" spans="1:2">
      <c r="A93" s="10"/>
      <c r="B93" s="10"/>
    </row>
    <row r="94" spans="1:2">
      <c r="A94" s="10"/>
      <c r="B94" s="10"/>
    </row>
    <row r="95" spans="1:2">
      <c r="A95" s="10"/>
      <c r="B95" s="10"/>
    </row>
    <row r="96" spans="1:2">
      <c r="A96" s="10"/>
      <c r="B96" s="10"/>
    </row>
    <row r="97" spans="1:2">
      <c r="A97" s="10"/>
      <c r="B97" s="10"/>
    </row>
    <row r="98" spans="1:2">
      <c r="A98" s="10"/>
      <c r="B98" s="10"/>
    </row>
    <row r="99" spans="1:2">
      <c r="A99" s="10"/>
      <c r="B99" s="10"/>
    </row>
    <row r="100" spans="1:2">
      <c r="A100" s="10"/>
      <c r="B100" s="10"/>
    </row>
    <row r="101" spans="1:2">
      <c r="A101" s="10"/>
      <c r="B101" s="10"/>
    </row>
    <row r="102" spans="1:2">
      <c r="A102" s="10"/>
      <c r="B102" s="10"/>
    </row>
    <row r="103" spans="1:2">
      <c r="A103" s="10"/>
      <c r="B103" s="10"/>
    </row>
    <row r="104" spans="1:2">
      <c r="A104" s="10"/>
      <c r="B104" s="10"/>
    </row>
    <row r="105" spans="1:2">
      <c r="A105" s="10"/>
      <c r="B105" s="10"/>
    </row>
    <row r="106" spans="1:2">
      <c r="A106" s="10"/>
      <c r="B106" s="10"/>
    </row>
    <row r="107" spans="1:2">
      <c r="A107" s="10"/>
      <c r="B107" s="10"/>
    </row>
    <row r="108" spans="1:2">
      <c r="A108" s="10"/>
      <c r="B108" s="10"/>
    </row>
    <row r="109" spans="1:2">
      <c r="A109" s="10"/>
      <c r="B109" s="10"/>
    </row>
    <row r="110" spans="1:2">
      <c r="A110" s="10"/>
      <c r="B110" s="10"/>
    </row>
    <row r="111" spans="1:2">
      <c r="A111" s="10"/>
      <c r="B111" s="10"/>
    </row>
    <row r="112" spans="1:2">
      <c r="A112" s="10"/>
      <c r="B112" s="10"/>
    </row>
    <row r="113" spans="1:2">
      <c r="A113" s="10"/>
      <c r="B113" s="10"/>
    </row>
    <row r="114" spans="1:2">
      <c r="A114" s="10"/>
      <c r="B114" s="10"/>
    </row>
    <row r="115" spans="1:2">
      <c r="A115" s="10"/>
      <c r="B115" s="10"/>
    </row>
    <row r="116" spans="1:2">
      <c r="A116" s="10"/>
      <c r="B116" s="10"/>
    </row>
    <row r="117" spans="1:2">
      <c r="A117" s="10"/>
      <c r="B117" s="10"/>
    </row>
    <row r="118" spans="1:2">
      <c r="A118" s="10"/>
      <c r="B118" s="10"/>
    </row>
    <row r="119" spans="1:2">
      <c r="A119" s="10"/>
      <c r="B119" s="10"/>
    </row>
    <row r="120" spans="1:2">
      <c r="A120" s="10"/>
      <c r="B120" s="10"/>
    </row>
    <row r="121" spans="1:2">
      <c r="A121" s="10"/>
      <c r="B121" s="10"/>
    </row>
    <row r="122" spans="1:2">
      <c r="A122" s="10"/>
      <c r="B122" s="10"/>
    </row>
    <row r="123" spans="1:2">
      <c r="A123" s="10"/>
      <c r="B123" s="10"/>
    </row>
    <row r="124" spans="1:2">
      <c r="A124" s="10"/>
      <c r="B124" s="10"/>
    </row>
    <row r="125" spans="1:2">
      <c r="A125" s="10"/>
      <c r="B125" s="10"/>
    </row>
    <row r="126" spans="1:2">
      <c r="A126" s="10"/>
      <c r="B126" s="10"/>
    </row>
    <row r="127" spans="1:2">
      <c r="A127" s="10"/>
      <c r="B127" s="10"/>
    </row>
    <row r="128" spans="1:2">
      <c r="A128" s="10"/>
      <c r="B128" s="10"/>
    </row>
    <row r="129" spans="1:2">
      <c r="A129" s="10"/>
      <c r="B129" s="10"/>
    </row>
    <row r="130" spans="1:2">
      <c r="A130" s="10"/>
      <c r="B130" s="10"/>
    </row>
    <row r="131" spans="1:2">
      <c r="A131" s="10"/>
      <c r="B131" s="10"/>
    </row>
    <row r="132" spans="1:2">
      <c r="A132" s="10"/>
      <c r="B132" s="10"/>
    </row>
    <row r="133" spans="1:2">
      <c r="A133" s="10"/>
      <c r="B133" s="10"/>
    </row>
    <row r="134" spans="1:2">
      <c r="A134" s="10"/>
      <c r="B134" s="10"/>
    </row>
    <row r="135" spans="1:2">
      <c r="A135" s="10"/>
      <c r="B135" s="10"/>
    </row>
    <row r="136" spans="1:2">
      <c r="A136" s="10"/>
      <c r="B136" s="10"/>
    </row>
    <row r="137" spans="1:2">
      <c r="A137" s="10"/>
      <c r="B137" s="10"/>
    </row>
    <row r="138" spans="1:2">
      <c r="A138" s="10"/>
      <c r="B138" s="10"/>
    </row>
    <row r="139" spans="1:2">
      <c r="A139" s="10"/>
      <c r="B139" s="10"/>
    </row>
    <row r="140" spans="1:2">
      <c r="A140" s="10"/>
      <c r="B140" s="10"/>
    </row>
    <row r="141" spans="1:2">
      <c r="A141" s="10"/>
      <c r="B141" s="10"/>
    </row>
    <row r="142" spans="1:2">
      <c r="A142" s="10"/>
      <c r="B142" s="10"/>
    </row>
    <row r="143" spans="1:2">
      <c r="A143" s="10"/>
      <c r="B143" s="10"/>
    </row>
    <row r="144" spans="1:2">
      <c r="A144" s="10"/>
      <c r="B144" s="10"/>
    </row>
    <row r="145" spans="1:2">
      <c r="A145" s="10"/>
      <c r="B145" s="10"/>
    </row>
    <row r="146" spans="1:2">
      <c r="A146" s="10"/>
      <c r="B146" s="10"/>
    </row>
    <row r="147" spans="1:2">
      <c r="A147" s="10"/>
      <c r="B147" s="10"/>
    </row>
    <row r="148" spans="1:2">
      <c r="A148" s="10"/>
      <c r="B148" s="10"/>
    </row>
    <row r="149" spans="1:2">
      <c r="A149" s="10"/>
      <c r="B149" s="10"/>
    </row>
    <row r="150" spans="1:2">
      <c r="A150" s="10"/>
      <c r="B150" s="10"/>
    </row>
    <row r="151" spans="1:2">
      <c r="A151" s="10"/>
      <c r="B151" s="10"/>
    </row>
    <row r="152" spans="1:2">
      <c r="A152" s="10"/>
      <c r="B152" s="10"/>
    </row>
    <row r="153" spans="1:2">
      <c r="A153" s="10"/>
      <c r="B153" s="10"/>
    </row>
    <row r="154" spans="1:2">
      <c r="A154" s="10"/>
      <c r="B154" s="10"/>
    </row>
    <row r="155" spans="1:2">
      <c r="A155" s="10"/>
      <c r="B155" s="10"/>
    </row>
    <row r="156" spans="1:2">
      <c r="A156" s="10"/>
      <c r="B156" s="10"/>
    </row>
    <row r="157" spans="1:2">
      <c r="A157" s="10"/>
      <c r="B157" s="10"/>
    </row>
    <row r="158" spans="1:2">
      <c r="A158" s="10"/>
      <c r="B158" s="10"/>
    </row>
    <row r="159" spans="1:2">
      <c r="A159" s="10"/>
      <c r="B159" s="10"/>
    </row>
    <row r="160" spans="1:2">
      <c r="A160" s="10"/>
      <c r="B160" s="10"/>
    </row>
    <row r="161" spans="1:2">
      <c r="A161" s="10"/>
      <c r="B161" s="10"/>
    </row>
    <row r="162" spans="1:2">
      <c r="A162" s="10"/>
      <c r="B162" s="10"/>
    </row>
    <row r="163" spans="1:2">
      <c r="A163" s="10"/>
      <c r="B163" s="10"/>
    </row>
    <row r="164" spans="1:2">
      <c r="A164" s="10"/>
      <c r="B164" s="10"/>
    </row>
    <row r="165" spans="1:2">
      <c r="A165" s="10"/>
      <c r="B165" s="10"/>
    </row>
    <row r="166" spans="1:2">
      <c r="A166" s="10"/>
      <c r="B166" s="10"/>
    </row>
  </sheetData>
  <mergeCells count="2">
    <mergeCell ref="B18:C18"/>
    <mergeCell ref="B23:C23"/>
  </mergeCells>
  <pageMargins left="0.7" right="0.7" top="0.75" bottom="0.75" header="0.3" footer="0.3"/>
  <pageSetup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5:L105"/>
  <sheetViews>
    <sheetView topLeftCell="A76" workbookViewId="0">
      <selection activeCell="F17" sqref="F17"/>
    </sheetView>
  </sheetViews>
  <sheetFormatPr defaultRowHeight="15"/>
  <cols>
    <col min="3" max="3" width="10" bestFit="1" customWidth="1"/>
  </cols>
  <sheetData>
    <row r="5" spans="1:12">
      <c r="B5" t="s">
        <v>90</v>
      </c>
      <c r="C5" t="s">
        <v>91</v>
      </c>
      <c r="D5" t="s">
        <v>42</v>
      </c>
      <c r="E5" t="s">
        <v>92</v>
      </c>
      <c r="L5">
        <v>1</v>
      </c>
    </row>
    <row r="6" spans="1:12">
      <c r="A6">
        <v>1</v>
      </c>
      <c r="B6">
        <v>43650</v>
      </c>
      <c r="C6">
        <v>120000000</v>
      </c>
      <c r="D6">
        <f t="shared" ref="D6:D11" si="0">C6/B6</f>
        <v>2749.1408934707902</v>
      </c>
      <c r="E6" t="s">
        <v>94</v>
      </c>
    </row>
    <row r="7" spans="1:12">
      <c r="A7">
        <v>2</v>
      </c>
      <c r="B7">
        <v>20000</v>
      </c>
      <c r="C7">
        <v>74000000</v>
      </c>
      <c r="D7">
        <f t="shared" si="0"/>
        <v>3700</v>
      </c>
      <c r="E7" t="s">
        <v>93</v>
      </c>
    </row>
    <row r="8" spans="1:12">
      <c r="A8">
        <v>3</v>
      </c>
      <c r="B8">
        <v>15096</v>
      </c>
      <c r="C8">
        <v>68000000</v>
      </c>
      <c r="D8">
        <f t="shared" si="0"/>
        <v>4504.5045045045044</v>
      </c>
      <c r="E8" s="70" t="s">
        <v>95</v>
      </c>
    </row>
    <row r="9" spans="1:12">
      <c r="A9">
        <v>4</v>
      </c>
      <c r="B9">
        <v>202340</v>
      </c>
      <c r="C9">
        <v>11000000</v>
      </c>
      <c r="D9">
        <f t="shared" si="0"/>
        <v>54.363941880003956</v>
      </c>
      <c r="E9" s="70" t="s">
        <v>96</v>
      </c>
      <c r="I9" s="71" t="s">
        <v>97</v>
      </c>
    </row>
    <row r="10" spans="1:12">
      <c r="A10">
        <v>5</v>
      </c>
      <c r="B10">
        <v>14500</v>
      </c>
      <c r="C10">
        <v>58000000</v>
      </c>
      <c r="D10">
        <f t="shared" si="0"/>
        <v>4000</v>
      </c>
      <c r="E10" s="70" t="s">
        <v>98</v>
      </c>
    </row>
    <row r="11" spans="1:12">
      <c r="B11">
        <v>8800</v>
      </c>
      <c r="C11">
        <v>40000000</v>
      </c>
      <c r="D11">
        <f t="shared" si="0"/>
        <v>4545.454545454545</v>
      </c>
      <c r="E11" s="70" t="s">
        <v>99</v>
      </c>
    </row>
    <row r="12" spans="1:12">
      <c r="D12">
        <f>AVERAGE(D6,D8,D10,D7,D11)</f>
        <v>3899.8199886859679</v>
      </c>
    </row>
    <row r="25" spans="12:12">
      <c r="L25">
        <v>2</v>
      </c>
    </row>
    <row r="45" spans="12:12">
      <c r="L45">
        <v>3</v>
      </c>
    </row>
    <row r="65" spans="12:12">
      <c r="L65">
        <v>4</v>
      </c>
    </row>
    <row r="85" spans="12:12">
      <c r="L85">
        <v>5</v>
      </c>
    </row>
    <row r="105" spans="12:12">
      <c r="L105">
        <v>6</v>
      </c>
    </row>
  </sheetData>
  <pageMargins left="0.7" right="0.7" top="0.75" bottom="0.75" header="0.3" footer="0.3"/>
  <pageSetup paperSize="9" orientation="portrait" horizontalDpi="1200" verticalDpi="1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A03AC0-3B3E-40CD-BBDD-647ECA39CC38}">
  <dimension ref="A1"/>
  <sheetViews>
    <sheetView topLeftCell="A4" workbookViewId="0">
      <selection activeCell="H8" sqref="H8"/>
    </sheetView>
  </sheetViews>
  <sheetFormatPr defaultRowHeight="1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7</vt:i4>
      </vt:variant>
    </vt:vector>
  </HeadingPairs>
  <TitlesOfParts>
    <vt:vector size="7" baseType="lpstr">
      <vt:lpstr>Sheet1</vt:lpstr>
      <vt:lpstr>Allotment rate</vt:lpstr>
      <vt:lpstr>Coordinates</vt:lpstr>
      <vt:lpstr>Building</vt:lpstr>
      <vt:lpstr>Valuation</vt:lpstr>
      <vt:lpstr>Sale Instances</vt:lpstr>
      <vt:lpstr>Circle Rate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118-PC</dc:creator>
  <cp:lastModifiedBy>DESK-28 VASTUKALA</cp:lastModifiedBy>
  <dcterms:created xsi:type="dcterms:W3CDTF">2015-06-05T18:17:20Z</dcterms:created>
  <dcterms:modified xsi:type="dcterms:W3CDTF">2025-03-18T06:03:31Z</dcterms:modified>
</cp:coreProperties>
</file>