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ishali\SBI\Diamond Branch (BKC)\Dhanera Diamonds\Seena Shelteres Pvt Ltd - Land\"/>
    </mc:Choice>
  </mc:AlternateContent>
  <xr:revisionPtr revIDLastSave="0" documentId="13_ncr:1_{285767D3-E309-45E3-99DE-7743E780A9C7}" xr6:coauthVersionLast="36" xr6:coauthVersionMax="36" xr10:uidLastSave="{00000000-0000-0000-0000-000000000000}"/>
  <bookViews>
    <workbookView xWindow="0" yWindow="0" windowWidth="21570" windowHeight="7875" xr2:uid="{00000000-000D-0000-FFFF-FFFF00000000}"/>
  </bookViews>
  <sheets>
    <sheet name="Final calculation" sheetId="1" r:id="rId1"/>
    <sheet name="Sheet1" sheetId="5" r:id="rId2"/>
  </sheets>
  <calcPr calcId="191029"/>
</workbook>
</file>

<file path=xl/calcChain.xml><?xml version="1.0" encoding="utf-8"?>
<calcChain xmlns="http://schemas.openxmlformats.org/spreadsheetml/2006/main">
  <c r="E20" i="1" l="1"/>
  <c r="B9" i="1" l="1"/>
  <c r="I15" i="1" l="1"/>
  <c r="K10" i="1"/>
  <c r="K11" i="1"/>
  <c r="K13" i="1"/>
  <c r="K9" i="1"/>
  <c r="J16" i="1"/>
  <c r="I16" i="1"/>
  <c r="K16" i="1" s="1"/>
  <c r="J15" i="1"/>
  <c r="D30" i="1"/>
  <c r="K15" i="1" l="1"/>
  <c r="E4" i="1"/>
  <c r="J14" i="1" l="1"/>
  <c r="I14" i="1" s="1"/>
  <c r="K14" i="1" s="1"/>
  <c r="J12" i="1"/>
  <c r="K12" i="1" l="1"/>
  <c r="K17" i="1" s="1"/>
  <c r="J17" i="1"/>
  <c r="E6" i="1" s="1"/>
  <c r="I17" i="1"/>
  <c r="E5" i="1" s="1"/>
  <c r="E7" i="1" s="1"/>
  <c r="L3" i="1"/>
  <c r="M3" i="1" s="1"/>
  <c r="E9" i="1" l="1"/>
  <c r="E8" i="1"/>
  <c r="L4" i="1"/>
  <c r="M4" i="1" s="1"/>
  <c r="K4" i="1"/>
  <c r="I5" i="1" l="1"/>
  <c r="K3" i="1" l="1"/>
  <c r="K5" i="1" s="1"/>
  <c r="B72" i="5"/>
  <c r="B73" i="5"/>
  <c r="B70" i="5"/>
  <c r="B69" i="5"/>
  <c r="C68" i="5"/>
  <c r="B67" i="5"/>
  <c r="B66" i="5"/>
  <c r="B65" i="5"/>
  <c r="B63" i="5"/>
  <c r="B58" i="5"/>
  <c r="B60" i="5" s="1"/>
  <c r="B62" i="5" s="1"/>
  <c r="B74" i="5" s="1"/>
  <c r="F43" i="5"/>
  <c r="B41" i="5"/>
  <c r="B40" i="5"/>
  <c r="C39" i="5"/>
  <c r="U34" i="5"/>
  <c r="C26" i="5"/>
  <c r="C15" i="5"/>
  <c r="C14" i="5"/>
  <c r="C12" i="5"/>
  <c r="C17" i="5" s="1"/>
  <c r="H8" i="5"/>
  <c r="C19" i="5" s="1"/>
  <c r="C21" i="5" s="1"/>
  <c r="C23" i="5" s="1"/>
  <c r="D6" i="5"/>
  <c r="C6" i="5"/>
  <c r="E23" i="5" l="1"/>
  <c r="E25" i="5" s="1"/>
  <c r="E26" i="5" s="1"/>
  <c r="E28" i="5" s="1"/>
  <c r="C25" i="5" s="1"/>
  <c r="C28" i="5" s="1"/>
  <c r="C32" i="5" s="1"/>
  <c r="C33" i="5" s="1"/>
  <c r="F23" i="5"/>
  <c r="F24" i="5" s="1"/>
  <c r="F36" i="5" l="1"/>
  <c r="F37" i="5" s="1"/>
  <c r="E36" i="5"/>
  <c r="E38" i="5" s="1"/>
  <c r="E39" i="5" s="1"/>
  <c r="E41" i="5" s="1"/>
</calcChain>
</file>

<file path=xl/sharedStrings.xml><?xml version="1.0" encoding="utf-8"?>
<sst xmlns="http://schemas.openxmlformats.org/spreadsheetml/2006/main" count="117" uniqueCount="110">
  <si>
    <t>Rate</t>
  </si>
  <si>
    <t>land area</t>
  </si>
  <si>
    <t>Land Value</t>
  </si>
  <si>
    <t xml:space="preserve"> Value</t>
  </si>
  <si>
    <t>Indexed Cost of Acquisition</t>
  </si>
  <si>
    <t xml:space="preserve"> </t>
  </si>
  <si>
    <t>Indiraben N Amin &amp; Ors.</t>
  </si>
  <si>
    <t>Value of Property as on Year</t>
  </si>
  <si>
    <t>Current Year</t>
  </si>
  <si>
    <t xml:space="preserve">RR 2001 </t>
  </si>
  <si>
    <t>Year of Construction</t>
  </si>
  <si>
    <t>OC</t>
  </si>
  <si>
    <t>Page No.</t>
  </si>
  <si>
    <t>Age of Building</t>
  </si>
  <si>
    <t>Zone No.</t>
  </si>
  <si>
    <t>Area of Flat</t>
  </si>
  <si>
    <t>Sq.FT.</t>
  </si>
  <si>
    <t>Sq.M.</t>
  </si>
  <si>
    <t>increased by 25%</t>
  </si>
  <si>
    <t xml:space="preserve">Total </t>
  </si>
  <si>
    <t>Rate for Cost of Construction (For Flat)</t>
  </si>
  <si>
    <t>1. Rate Increase by 5% if the property is located on above 5th floor</t>
  </si>
  <si>
    <t>2. For car parking 25% rate of Ready reckoner.</t>
  </si>
  <si>
    <t>Cost of Construction of Flat</t>
  </si>
  <si>
    <t xml:space="preserve">3. Considered lowest range. Above 10 lakh stamp duty is 8%. </t>
  </si>
  <si>
    <t xml:space="preserve">4. Registration charges 1% or Maximum 20000/- </t>
  </si>
  <si>
    <t>Depreciation</t>
  </si>
  <si>
    <t xml:space="preserve">{(100-10) x20}/70.00 </t>
  </si>
  <si>
    <t>Amount of Depreciation</t>
  </si>
  <si>
    <t>Ready Reckoner</t>
  </si>
  <si>
    <t>Flat</t>
  </si>
  <si>
    <t>Value of the flat (BU area * Rate)</t>
  </si>
  <si>
    <t xml:space="preserve">stamp duty </t>
  </si>
  <si>
    <t>registration ch - 1%</t>
  </si>
  <si>
    <t>Depreciated Fair Market Value</t>
  </si>
  <si>
    <t>above 10 lakhs</t>
  </si>
  <si>
    <t>Stamp Duty</t>
  </si>
  <si>
    <t>whicever is less</t>
  </si>
  <si>
    <t>Registration Charges</t>
  </si>
  <si>
    <t>stamp duty - 8%</t>
  </si>
  <si>
    <t xml:space="preserve"> Cost of Acquisition</t>
  </si>
  <si>
    <t>Cost Inflation Index - 2001</t>
  </si>
  <si>
    <t>Cost Inflation Index -  2024-2025</t>
  </si>
  <si>
    <t>Plot area</t>
  </si>
  <si>
    <t>Less</t>
  </si>
  <si>
    <t>net plot</t>
  </si>
  <si>
    <t>Land area</t>
  </si>
  <si>
    <t>FSI</t>
  </si>
  <si>
    <t>land with FSI</t>
  </si>
  <si>
    <t>road width 27m and above</t>
  </si>
  <si>
    <t>bua of bungalow</t>
  </si>
  <si>
    <t xml:space="preserve">as per actual measurement  - agreement </t>
  </si>
  <si>
    <t>balance FSI</t>
  </si>
  <si>
    <t>RR Land rate as on 2001</t>
  </si>
  <si>
    <t>Balance FSI Value</t>
  </si>
  <si>
    <t>Bungalo</t>
  </si>
  <si>
    <t>RR RE. Rate</t>
  </si>
  <si>
    <t>Dep. Rate</t>
  </si>
  <si>
    <t>Terrace</t>
  </si>
  <si>
    <t>rate for terrace</t>
  </si>
  <si>
    <t>value of terrace</t>
  </si>
  <si>
    <t>Less Premium</t>
  </si>
  <si>
    <t>TDR</t>
  </si>
  <si>
    <t>value (A + B + C - D -E)</t>
  </si>
  <si>
    <t>A</t>
  </si>
  <si>
    <t>B</t>
  </si>
  <si>
    <t>C</t>
  </si>
  <si>
    <t>D</t>
  </si>
  <si>
    <t>E</t>
  </si>
  <si>
    <t>Value of Bungalow</t>
  </si>
  <si>
    <t xml:space="preserve">Basic land </t>
  </si>
  <si>
    <t>total bua</t>
  </si>
  <si>
    <t>rehab bua</t>
  </si>
  <si>
    <t>sale bua</t>
  </si>
  <si>
    <t>FMV</t>
  </si>
  <si>
    <t>RV</t>
  </si>
  <si>
    <t>DSV</t>
  </si>
  <si>
    <t>SBI\Diamond Branch (BKC)\Dhanera Diamonds\Land - Seena Shelteres Pvt Ltd</t>
  </si>
  <si>
    <t>BMC CHQ</t>
  </si>
  <si>
    <t>BMC CHALLAN AND DD</t>
  </si>
  <si>
    <t>BMC MAIL COPY</t>
  </si>
  <si>
    <t>Labour welfare charges</t>
  </si>
  <si>
    <t>fungible prmium</t>
  </si>
  <si>
    <t>Scrutiny Fees</t>
  </si>
  <si>
    <t>IOD Deposit</t>
  </si>
  <si>
    <t>Debris removal deposit</t>
  </si>
  <si>
    <t>Development Charges</t>
  </si>
  <si>
    <t>Open Space Deficiency</t>
  </si>
  <si>
    <t>labour welfare charges</t>
  </si>
  <si>
    <t>fungible premium</t>
  </si>
  <si>
    <t>st. &amp; lift</t>
  </si>
  <si>
    <t>Fees &amp; royalties</t>
  </si>
  <si>
    <t>other charges</t>
  </si>
  <si>
    <t>Total</t>
  </si>
  <si>
    <t xml:space="preserve">Sr. No. </t>
  </si>
  <si>
    <t>Particular</t>
  </si>
  <si>
    <r>
      <t xml:space="preserve">In </t>
    </r>
    <r>
      <rPr>
        <b/>
        <sz val="11"/>
        <color theme="1"/>
        <rFont val="Rupee Foradian"/>
        <family val="2"/>
      </rPr>
      <t>`</t>
    </r>
  </si>
  <si>
    <t>Cheque dated 23.12.2024 for Development charges (50% BMC) + Premium for deficiency in open space + Labour Welfare Cess (ADM – 1%) BMC + Labour Welfare Cess (Tax / Fund – 99%) + Development Charges for VUTP (50%)</t>
  </si>
  <si>
    <t>Cheque dated 10.12.2024</t>
  </si>
  <si>
    <t>Cheque dated 01.11.2022 for Scrutiny Fees + Premium chr – Infra Dev. Fnd – Fungible – Comp FSI (FCSI) + Deposits in cash / sec frm pvt. Parties – RECO + Deposits in cash / sec fr, Pvt. Parties – RECO + Premium under Regulation 31 (3) for MSR&amp;DC (Sealink)</t>
  </si>
  <si>
    <t xml:space="preserve">Cheque dated 03.02.2025 Fees for Royalties </t>
  </si>
  <si>
    <t xml:space="preserve">Cheque dated 01.11.2022 for issue of IOD Approvals Plan  </t>
  </si>
  <si>
    <t xml:space="preserve">Total Approval Charges </t>
  </si>
  <si>
    <t xml:space="preserve">Paid </t>
  </si>
  <si>
    <t>Balance approval charges</t>
  </si>
  <si>
    <r>
      <rPr>
        <b/>
        <sz val="11"/>
        <color rgb="FF000000"/>
        <rFont val="Arial Narrow"/>
        <family val="2"/>
      </rPr>
      <t xml:space="preserve">Less </t>
    </r>
    <r>
      <rPr>
        <sz val="11"/>
        <color rgb="FF000000"/>
        <rFont val="Arial Narrow"/>
        <family val="2"/>
      </rPr>
      <t xml:space="preserve">Approval cost </t>
    </r>
  </si>
  <si>
    <r>
      <rPr>
        <b/>
        <sz val="11"/>
        <color rgb="FF000000"/>
        <rFont val="Arial Narrow"/>
        <family val="2"/>
      </rPr>
      <t xml:space="preserve">Add </t>
    </r>
    <r>
      <rPr>
        <sz val="11"/>
        <color rgb="FF000000"/>
        <rFont val="Arial Narrow"/>
        <family val="2"/>
      </rPr>
      <t xml:space="preserve">Already Paid </t>
    </r>
  </si>
  <si>
    <t>Rate / Sq. M.</t>
  </si>
  <si>
    <t>Proposed BUA as per Plan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</si>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</sst>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 * #,##0.00_ ;_ * \-#,##0.00_ ;_ * &quot;-&quot;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1"/>
      <color theme="1"/>
      <name val="Rupee Foradian"/>
      <family val="2"/>
    </font>
    <font>
      <b/>
      <sz val="11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7" fillId="0" borderId="0" applyFont="0" applyFill="0" applyBorder="0" applyAlignment="0" applyProtection="0"/>
    <xf numFmtId="0" fontId="7" fillId="2" borderId="4" applyNumberFormat="0" applyFont="0" applyAlignment="0" applyProtection="0"/>
    <xf numFmtId="9" fontId="7" fillId="0" borderId="0" applyFont="0" applyFill="0" applyBorder="0" applyAlignment="0" applyProtection="0"/>
    <xf numFmtId="0" fontId="16" fillId="0" borderId="0"/>
    <xf numFmtId="43" fontId="7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9" fillId="0" borderId="0"/>
    <xf numFmtId="0" fontId="20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 shrinkToFit="1"/>
    </xf>
    <xf numFmtId="0" fontId="2" fillId="0" borderId="0" xfId="0" applyFo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4" fillId="0" borderId="0" xfId="0" applyFont="1" applyAlignment="1">
      <alignment wrapText="1"/>
    </xf>
    <xf numFmtId="4" fontId="2" fillId="0" borderId="1" xfId="0" applyNumberFormat="1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2" fillId="0" borderId="0" xfId="0" applyNumberFormat="1" applyFont="1"/>
    <xf numFmtId="0" fontId="5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4" fontId="5" fillId="0" borderId="1" xfId="0" applyNumberFormat="1" applyFont="1" applyBorder="1" applyAlignment="1">
      <alignment vertical="top"/>
    </xf>
    <xf numFmtId="0" fontId="1" fillId="0" borderId="0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 applyBorder="1"/>
    <xf numFmtId="0" fontId="1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43" fontId="5" fillId="0" borderId="0" xfId="1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right" vertical="top" wrapText="1"/>
    </xf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3" fillId="5" borderId="1" xfId="0" applyFont="1" applyFill="1" applyBorder="1" applyAlignment="1">
      <alignment horizontal="center"/>
    </xf>
    <xf numFmtId="0" fontId="0" fillId="5" borderId="1" xfId="0" applyFill="1" applyBorder="1"/>
    <xf numFmtId="10" fontId="0" fillId="0" borderId="0" xfId="0" applyNumberFormat="1"/>
    <xf numFmtId="0" fontId="0" fillId="4" borderId="1" xfId="0" applyFill="1" applyBorder="1" applyAlignment="1">
      <alignment horizontal="right"/>
    </xf>
    <xf numFmtId="0" fontId="0" fillId="5" borderId="1" xfId="0" applyFill="1" applyBorder="1" applyAlignment="1">
      <alignment horizontal="right" vertical="center"/>
    </xf>
    <xf numFmtId="43" fontId="0" fillId="5" borderId="1" xfId="0" applyNumberFormat="1" applyFill="1" applyBorder="1"/>
    <xf numFmtId="43" fontId="0" fillId="0" borderId="0" xfId="0" applyNumberFormat="1"/>
    <xf numFmtId="43" fontId="0" fillId="4" borderId="1" xfId="1" applyFont="1" applyFill="1" applyBorder="1" applyAlignment="1">
      <alignment horizontal="right"/>
    </xf>
    <xf numFmtId="43" fontId="0" fillId="0" borderId="0" xfId="1" applyFont="1"/>
    <xf numFmtId="0" fontId="13" fillId="0" borderId="0" xfId="0" applyFont="1" applyFill="1" applyBorder="1" applyAlignment="1">
      <alignment horizontal="center"/>
    </xf>
    <xf numFmtId="43" fontId="0" fillId="0" borderId="0" xfId="0" applyNumberFormat="1" applyFill="1"/>
    <xf numFmtId="0" fontId="0" fillId="4" borderId="1" xfId="0" applyFill="1" applyBorder="1" applyAlignment="1">
      <alignment horizontal="center" vertical="top"/>
    </xf>
    <xf numFmtId="0" fontId="13" fillId="6" borderId="0" xfId="0" applyFont="1" applyFill="1" applyBorder="1" applyAlignment="1">
      <alignment horizontal="right"/>
    </xf>
    <xf numFmtId="0" fontId="9" fillId="6" borderId="1" xfId="0" applyFont="1" applyFill="1" applyBorder="1"/>
    <xf numFmtId="0" fontId="0" fillId="6" borderId="1" xfId="0" applyFill="1" applyBorder="1"/>
    <xf numFmtId="43" fontId="0" fillId="6" borderId="1" xfId="1" applyFont="1" applyFill="1" applyBorder="1"/>
    <xf numFmtId="0" fontId="10" fillId="0" borderId="0" xfId="0" applyFont="1"/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0" fillId="6" borderId="1" xfId="0" applyFont="1" applyFill="1" applyBorder="1"/>
    <xf numFmtId="2" fontId="8" fillId="6" borderId="1" xfId="0" applyNumberFormat="1" applyFont="1" applyFill="1" applyBorder="1"/>
    <xf numFmtId="10" fontId="0" fillId="6" borderId="1" xfId="1" applyNumberFormat="1" applyFont="1" applyFill="1" applyBorder="1"/>
    <xf numFmtId="43" fontId="10" fillId="0" borderId="0" xfId="1" applyFont="1"/>
    <xf numFmtId="43" fontId="0" fillId="4" borderId="1" xfId="0" applyNumberFormat="1" applyFill="1" applyBorder="1"/>
    <xf numFmtId="0" fontId="0" fillId="7" borderId="1" xfId="0" applyFill="1" applyBorder="1"/>
    <xf numFmtId="0" fontId="13" fillId="7" borderId="1" xfId="0" applyFont="1" applyFill="1" applyBorder="1"/>
    <xf numFmtId="43" fontId="13" fillId="7" borderId="1" xfId="1" applyFont="1" applyFill="1" applyBorder="1"/>
    <xf numFmtId="0" fontId="13" fillId="0" borderId="1" xfId="0" applyFont="1" applyBorder="1"/>
    <xf numFmtId="0" fontId="13" fillId="4" borderId="1" xfId="0" applyFont="1" applyFill="1" applyBorder="1"/>
    <xf numFmtId="43" fontId="13" fillId="4" borderId="1" xfId="0" applyNumberFormat="1" applyFont="1" applyFill="1" applyBorder="1"/>
    <xf numFmtId="0" fontId="8" fillId="4" borderId="1" xfId="0" applyFont="1" applyFill="1" applyBorder="1"/>
    <xf numFmtId="43" fontId="8" fillId="4" borderId="1" xfId="0" applyNumberFormat="1" applyFont="1" applyFill="1" applyBorder="1"/>
    <xf numFmtId="0" fontId="9" fillId="5" borderId="1" xfId="0" applyFont="1" applyFill="1" applyBorder="1"/>
    <xf numFmtId="43" fontId="9" fillId="5" borderId="1" xfId="0" applyNumberFormat="1" applyFont="1" applyFill="1" applyBorder="1"/>
    <xf numFmtId="43" fontId="9" fillId="0" borderId="0" xfId="0" applyNumberFormat="1" applyFont="1"/>
    <xf numFmtId="43" fontId="0" fillId="6" borderId="1" xfId="0" applyNumberFormat="1" applyFill="1" applyBorder="1"/>
    <xf numFmtId="3" fontId="0" fillId="0" borderId="0" xfId="0" applyNumberFormat="1"/>
    <xf numFmtId="0" fontId="0" fillId="8" borderId="1" xfId="0" applyFill="1" applyBorder="1"/>
    <xf numFmtId="43" fontId="9" fillId="8" borderId="1" xfId="1" applyFont="1" applyFill="1" applyBorder="1"/>
    <xf numFmtId="43" fontId="9" fillId="0" borderId="0" xfId="1" applyFont="1"/>
    <xf numFmtId="0" fontId="0" fillId="6" borderId="1" xfId="0" applyFill="1" applyBorder="1" applyAlignment="1">
      <alignment horizontal="left"/>
    </xf>
    <xf numFmtId="0" fontId="9" fillId="0" borderId="0" xfId="0" applyFont="1"/>
    <xf numFmtId="43" fontId="0" fillId="4" borderId="1" xfId="1" applyFont="1" applyFill="1" applyBorder="1"/>
    <xf numFmtId="43" fontId="0" fillId="7" borderId="1" xfId="1" applyFont="1" applyFill="1" applyBorder="1"/>
    <xf numFmtId="43" fontId="13" fillId="0" borderId="1" xfId="1" applyFont="1" applyBorder="1"/>
    <xf numFmtId="43" fontId="13" fillId="4" borderId="1" xfId="1" applyFont="1" applyFill="1" applyBorder="1"/>
    <xf numFmtId="43" fontId="8" fillId="4" borderId="1" xfId="1" applyFont="1" applyFill="1" applyBorder="1"/>
    <xf numFmtId="43" fontId="9" fillId="5" borderId="1" xfId="1" applyFont="1" applyFill="1" applyBorder="1"/>
    <xf numFmtId="43" fontId="0" fillId="8" borderId="1" xfId="1" applyFont="1" applyFill="1" applyBorder="1"/>
    <xf numFmtId="0" fontId="4" fillId="0" borderId="0" xfId="0" applyFont="1" applyAlignment="1">
      <alignment horizontal="center"/>
    </xf>
    <xf numFmtId="10" fontId="1" fillId="0" borderId="0" xfId="3" applyNumberFormat="1" applyFont="1"/>
    <xf numFmtId="43" fontId="2" fillId="0" borderId="0" xfId="1" applyFont="1"/>
    <xf numFmtId="4" fontId="6" fillId="0" borderId="0" xfId="0" applyNumberFormat="1" applyFont="1" applyBorder="1" applyAlignment="1">
      <alignment horizontal="right" wrapText="1"/>
    </xf>
    <xf numFmtId="43" fontId="5" fillId="0" borderId="0" xfId="0" applyNumberFormat="1" applyFont="1" applyBorder="1" applyAlignment="1">
      <alignment horizontal="right" vertical="center" wrapText="1"/>
    </xf>
    <xf numFmtId="43" fontId="4" fillId="0" borderId="0" xfId="1" applyFont="1" applyBorder="1" applyAlignment="1">
      <alignment vertical="top"/>
    </xf>
    <xf numFmtId="43" fontId="14" fillId="0" borderId="0" xfId="1" applyFont="1" applyBorder="1"/>
    <xf numFmtId="0" fontId="15" fillId="0" borderId="0" xfId="0" applyFont="1"/>
    <xf numFmtId="43" fontId="1" fillId="0" borderId="0" xfId="1" applyFont="1"/>
    <xf numFmtId="43" fontId="1" fillId="0" borderId="0" xfId="0" applyNumberFormat="1" applyFont="1"/>
    <xf numFmtId="0" fontId="0" fillId="0" borderId="0" xfId="4" applyFont="1"/>
    <xf numFmtId="43" fontId="17" fillId="0" borderId="0" xfId="14" applyNumberFormat="1" applyFont="1"/>
    <xf numFmtId="0" fontId="7" fillId="0" borderId="0" xfId="14" applyFont="1"/>
    <xf numFmtId="43" fontId="2" fillId="0" borderId="0" xfId="0" applyNumberFormat="1" applyFont="1" applyBorder="1"/>
    <xf numFmtId="0" fontId="15" fillId="0" borderId="0" xfId="0" applyFont="1" applyAlignment="1">
      <alignment horizontal="center"/>
    </xf>
    <xf numFmtId="43" fontId="1" fillId="0" borderId="0" xfId="1" applyFont="1" applyAlignment="1">
      <alignment wrapText="1"/>
    </xf>
    <xf numFmtId="43" fontId="5" fillId="0" borderId="1" xfId="1" applyFont="1" applyBorder="1"/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43" fontId="1" fillId="0" borderId="11" xfId="1" applyFont="1" applyBorder="1" applyAlignment="1">
      <alignment horizontal="right" vertical="center" wrapText="1"/>
    </xf>
    <xf numFmtId="0" fontId="5" fillId="0" borderId="11" xfId="0" applyFont="1" applyBorder="1" applyAlignment="1">
      <alignment horizontal="justify" vertical="center" wrapText="1"/>
    </xf>
    <xf numFmtId="43" fontId="5" fillId="0" borderId="0" xfId="0" applyNumberFormat="1" applyFont="1" applyBorder="1"/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vertical="top"/>
    </xf>
    <xf numFmtId="0" fontId="14" fillId="0" borderId="0" xfId="0" applyFont="1" applyAlignment="1">
      <alignment horizontal="right"/>
    </xf>
    <xf numFmtId="4" fontId="4" fillId="0" borderId="0" xfId="0" applyNumberFormat="1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/>
    <xf numFmtId="0" fontId="14" fillId="0" borderId="0" xfId="0" applyFont="1" applyAlignment="1"/>
    <xf numFmtId="43" fontId="1" fillId="0" borderId="0" xfId="1" applyFont="1" applyBorder="1"/>
    <xf numFmtId="43" fontId="2" fillId="0" borderId="0" xfId="1" applyFont="1" applyBorder="1"/>
    <xf numFmtId="0" fontId="1" fillId="0" borderId="12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43" fontId="6" fillId="0" borderId="12" xfId="1" applyFont="1" applyBorder="1" applyAlignment="1">
      <alignment horizontal="right" vertical="center" wrapText="1"/>
    </xf>
    <xf numFmtId="43" fontId="6" fillId="0" borderId="10" xfId="1" applyFont="1" applyBorder="1" applyAlignment="1">
      <alignment horizontal="right" vertical="center" wrapText="1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0" fontId="11" fillId="2" borderId="5" xfId="2" applyFont="1" applyBorder="1" applyAlignment="1">
      <alignment horizontal="center"/>
    </xf>
    <xf numFmtId="0" fontId="11" fillId="2" borderId="6" xfId="2" applyFont="1" applyBorder="1" applyAlignment="1">
      <alignment horizontal="center"/>
    </xf>
    <xf numFmtId="0" fontId="11" fillId="2" borderId="3" xfId="2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top"/>
    </xf>
    <xf numFmtId="0" fontId="0" fillId="4" borderId="7" xfId="0" applyFill="1" applyBorder="1" applyAlignment="1">
      <alignment horizontal="center" vertical="top"/>
    </xf>
  </cellXfs>
  <cellStyles count="21">
    <cellStyle name="Comma" xfId="1" builtinId="3"/>
    <cellStyle name="Comma 2" xfId="13" xr:uid="{631F8309-6AE2-41E3-9EC9-9ED77D79E5C3}"/>
    <cellStyle name="Comma 3" xfId="7" xr:uid="{D9F116B9-D684-4380-81DF-8FBA68BBBA59}"/>
    <cellStyle name="Comma 4" xfId="15" xr:uid="{84D4321B-CD27-4A63-B87E-40C2A405C760}"/>
    <cellStyle name="Comma 4 3" xfId="8" xr:uid="{76295783-08B3-489E-AEB6-703D1B6E61ED}"/>
    <cellStyle name="Comma 5" xfId="17" xr:uid="{50383323-3EC9-4C84-8DF4-75BECAB5D4B8}"/>
    <cellStyle name="Comma 6" xfId="20" xr:uid="{C99A66EC-B68A-43CD-997D-CE2E5A415BE4}"/>
    <cellStyle name="Comma 7" xfId="5" xr:uid="{00000000-0005-0000-0000-00002F000000}"/>
    <cellStyle name="Normal" xfId="0" builtinId="0"/>
    <cellStyle name="Normal 10" xfId="4" xr:uid="{00000000-0005-0000-0000-000036000000}"/>
    <cellStyle name="Normal 2" xfId="9" xr:uid="{1F2CA176-EF15-49EE-9EF6-8AF6F9CD6332}"/>
    <cellStyle name="Normal 3" xfId="10" xr:uid="{9B078BB7-AF73-44E9-9C97-6BD14C5E8145}"/>
    <cellStyle name="Normal 4" xfId="11" xr:uid="{DA94F015-8EA0-489A-AEC1-E20F4F6055D9}"/>
    <cellStyle name="Normal 5" xfId="12" xr:uid="{D3EFB32C-8B6B-48E9-96A6-ABAD59C38594}"/>
    <cellStyle name="Normal 6" xfId="6" xr:uid="{4D6CFBC7-73D0-46D1-B378-91B5FCF17D31}"/>
    <cellStyle name="Normal 7" xfId="14" xr:uid="{2115D054-488F-4731-841D-BC4C26024B66}"/>
    <cellStyle name="Normal 8" xfId="16" xr:uid="{4932BAE4-5B73-4E85-8185-C938DE865F09}"/>
    <cellStyle name="Normal 9" xfId="19" xr:uid="{9F6EC122-0824-49D6-9D27-14270A5B8045}"/>
    <cellStyle name="Note" xfId="2" builtinId="10"/>
    <cellStyle name="Percent" xfId="3" builtinId="5"/>
    <cellStyle name="Percent 2" xfId="18" xr:uid="{70643F60-C5CB-41CB-903C-831A1ED4730B}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Flatwise &amp; Unsold Inventory-style" pivot="0" count="4" xr9:uid="{82209598-E310-47A0-88AC-0A355FBEE832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92228525-6FA8-442A-8329-14FF8E61E2E7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249115</xdr:colOff>
      <xdr:row>22</xdr:row>
      <xdr:rowOff>205154</xdr:rowOff>
    </xdr:from>
    <xdr:to>
      <xdr:col>15</xdr:col>
      <xdr:colOff>362702</xdr:colOff>
      <xdr:row>29</xdr:row>
      <xdr:rowOff>207594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FC6126-F8E0-436A-841A-6CF02FD69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9577" y="4667250"/>
          <a:ext cx="5391902" cy="3181794"/>
        </a:xfrm>
        <a:prstGeom prst="rect">
          <a:avLst/>
        </a:prstGeom>
      </xdr:spPr>
    </xdr:pic>
    <xdr:clientData/>
  </xdr:twoCellAnchor>
  <xdr:twoCellAnchor editAs="oneCell">
    <xdr:from>
      <xdr:col>11</xdr:col>
      <xdr:colOff>901212</xdr:colOff>
      <xdr:row>6</xdr:row>
      <xdr:rowOff>190501</xdr:rowOff>
    </xdr:from>
    <xdr:to>
      <xdr:col>13</xdr:col>
      <xdr:colOff>815012</xdr:colOff>
      <xdr:row>23</xdr:row>
      <xdr:rowOff>24676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40D071-1C2F-4BB7-9AAB-0ABF17E50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20904" y="1252905"/>
          <a:ext cx="1848108" cy="3553321"/>
        </a:xfrm>
        <a:prstGeom prst="rect">
          <a:avLst/>
        </a:prstGeom>
      </xdr:spPr>
    </xdr:pic>
    <xdr:clientData/>
  </xdr:twoCellAnchor>
  <xdr:twoCellAnchor editAs="oneCell">
    <xdr:from>
      <xdr:col>6</xdr:col>
      <xdr:colOff>201869</xdr:colOff>
      <xdr:row>31</xdr:row>
      <xdr:rowOff>113695</xdr:rowOff>
    </xdr:from>
    <xdr:to>
      <xdr:col>11</xdr:col>
      <xdr:colOff>59648</xdr:colOff>
      <xdr:row>48</xdr:row>
      <xdr:rowOff>121527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A4FAB4C-E8AB-4121-B61C-9CF9C57B7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08731" y="6419902"/>
          <a:ext cx="6123915" cy="3581349"/>
        </a:xfrm>
        <a:prstGeom prst="rect">
          <a:avLst/>
        </a:prstGeom>
      </xdr:spPr>
    </xdr:pic>
    <xdr:clientData/>
  </xdr:twoCellAnchor>
  <xdr:twoCellAnchor editAs="oneCell">
    <xdr:from>
      <xdr:col>1</xdr:col>
      <xdr:colOff>22990</xdr:colOff>
      <xdr:row>34</xdr:row>
      <xdr:rowOff>72935</xdr:rowOff>
    </xdr:from>
    <xdr:to>
      <xdr:col>3</xdr:col>
      <xdr:colOff>1425944</xdr:colOff>
      <xdr:row>50</xdr:row>
      <xdr:rowOff>141233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355C8AD-DB82-472A-A94E-F7E623B6A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3904" y="7009763"/>
          <a:ext cx="5717779" cy="3431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33617</xdr:colOff>
      <xdr:row>2</xdr:row>
      <xdr:rowOff>11206</xdr:rowOff>
    </xdr:from>
    <xdr:to>
      <xdr:col>26</xdr:col>
      <xdr:colOff>397872</xdr:colOff>
      <xdr:row>40</xdr:row>
      <xdr:rowOff>39987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6C8E18-B891-4FCD-A0E7-04AC6649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30192" y="554131"/>
          <a:ext cx="11679955" cy="7267781"/>
        </a:xfrm>
        <a:prstGeom prst="rect">
          <a:avLst/>
        </a:prstGeom>
      </xdr:spPr>
    </xdr:pic>
    <xdr:clientData/>
  </xdr:twoCellAnchor>
  <xdr:twoCellAnchor editAs="oneCell">
    <xdr:from>
      <xdr:col>8</xdr:col>
      <xdr:colOff>885264</xdr:colOff>
      <xdr:row>37</xdr:row>
      <xdr:rowOff>156882</xdr:rowOff>
    </xdr:from>
    <xdr:to>
      <xdr:col>28</xdr:col>
      <xdr:colOff>480234</xdr:colOff>
      <xdr:row>76</xdr:row>
      <xdr:rowOff>41668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B5714C-122F-4724-814A-63424931A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86489" y="7614957"/>
          <a:ext cx="13025220" cy="73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28575</xdr:rowOff>
    </xdr:from>
    <xdr:to>
      <xdr:col>6</xdr:col>
      <xdr:colOff>791766</xdr:colOff>
      <xdr:row>48</xdr:row>
      <xdr:rowOff>123945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2F7D98-1C45-4A4E-894F-2E01F2A7C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820150"/>
          <a:ext cx="8535591" cy="857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7"/>
  <sheetViews>
    <sheetView tabSelected="1" zoomScaleNormal="100" workbookViewId="0">
      <pane xSplit="4" ySplit="4" topLeftCell="E5" activePane="bottomRight" state="frozen"/>
      <selection pane="topRight" activeCell="D1" sqref="D1"/>
      <selection pane="bottomLeft" activeCell="A6" sqref="A6"/>
      <selection pane="bottomRight" activeCell="F27" sqref="F27"/>
    </sheetView>
  </sheetViews>
  <sheetFormatPr defaultRowHeight="16.5" x14ac:dyDescent="0.3"/>
  <cols>
    <col min="1" max="1" width="9.140625" style="32"/>
    <col min="2" max="2" width="15.140625" style="2" customWidth="1"/>
    <col min="3" max="3" width="49.5703125" style="2" customWidth="1"/>
    <col min="4" max="4" width="22.85546875" style="1" customWidth="1"/>
    <col min="5" max="5" width="24.5703125" style="1" customWidth="1"/>
    <col min="6" max="6" width="17.5703125" style="1" bestFit="1" customWidth="1"/>
    <col min="7" max="7" width="15.28515625" style="4" bestFit="1" customWidth="1"/>
    <col min="8" max="8" width="24.85546875" style="4" customWidth="1"/>
    <col min="9" max="9" width="18" style="4" customWidth="1"/>
    <col min="10" max="10" width="13.85546875" style="1" bestFit="1" customWidth="1"/>
    <col min="11" max="11" width="22" style="4" bestFit="1" customWidth="1"/>
    <col min="12" max="12" width="14.140625" style="1" customWidth="1"/>
    <col min="13" max="13" width="14.85546875" style="4" customWidth="1"/>
    <col min="14" max="14" width="14.85546875" style="4" bestFit="1" customWidth="1"/>
    <col min="15" max="15" width="13.28515625" style="4" bestFit="1" customWidth="1"/>
    <col min="16" max="16384" width="9.140625" style="1"/>
  </cols>
  <sheetData>
    <row r="1" spans="1:15" x14ac:dyDescent="0.3">
      <c r="B1" s="8" t="s">
        <v>2</v>
      </c>
      <c r="C1" s="8"/>
      <c r="D1" s="94"/>
      <c r="E1" s="118"/>
    </row>
    <row r="2" spans="1:15" x14ac:dyDescent="0.3">
      <c r="B2" s="14" t="s">
        <v>1</v>
      </c>
      <c r="C2" s="37"/>
      <c r="D2" s="1" t="s">
        <v>108</v>
      </c>
      <c r="E2" s="1">
        <v>478.95</v>
      </c>
      <c r="F2" s="3"/>
      <c r="G2" s="3"/>
      <c r="H2" s="16"/>
      <c r="I2" s="1" t="s">
        <v>71</v>
      </c>
      <c r="J2" s="1">
        <v>478.95</v>
      </c>
    </row>
    <row r="3" spans="1:15" x14ac:dyDescent="0.3">
      <c r="B3" s="15" t="s">
        <v>0</v>
      </c>
      <c r="C3" s="15"/>
      <c r="D3" s="18" t="s">
        <v>107</v>
      </c>
      <c r="E3" s="18">
        <v>318870</v>
      </c>
      <c r="F3" s="110"/>
      <c r="G3" s="17"/>
      <c r="H3" s="9"/>
      <c r="I3" s="1" t="s">
        <v>72</v>
      </c>
      <c r="J3" s="1">
        <v>307.7</v>
      </c>
      <c r="K3" s="96">
        <f>J3/E2</f>
        <v>0.64244701952187078</v>
      </c>
      <c r="L3" s="95">
        <f>J3/J2</f>
        <v>0.64244701952187078</v>
      </c>
      <c r="M3" s="96" t="e">
        <f>L3*D2</f>
        <v>#VALUE!</v>
      </c>
    </row>
    <row r="4" spans="1:15" x14ac:dyDescent="0.3">
      <c r="B4" s="20" t="s">
        <v>3</v>
      </c>
      <c r="C4" s="20"/>
      <c r="D4" s="122" t="s">
        <v>109</v>
      </c>
      <c r="E4" s="121">
        <f>ROUND(E3*E2,0)</f>
        <v>152722787</v>
      </c>
      <c r="F4" s="103"/>
      <c r="G4" s="13"/>
      <c r="H4" s="13"/>
      <c r="I4" s="4" t="s">
        <v>73</v>
      </c>
      <c r="J4" s="1">
        <v>171.25</v>
      </c>
      <c r="K4" s="96" t="e">
        <f>J4/D2</f>
        <v>#VALUE!</v>
      </c>
      <c r="L4" s="95">
        <f>J4/J2</f>
        <v>0.35755298047812922</v>
      </c>
      <c r="M4" s="96" t="e">
        <f>L4*D2</f>
        <v>#VALUE!</v>
      </c>
    </row>
    <row r="5" spans="1:15" x14ac:dyDescent="0.3">
      <c r="B5" s="5"/>
      <c r="C5" s="5"/>
      <c r="D5" s="97" t="s">
        <v>105</v>
      </c>
      <c r="E5" s="98">
        <f>I17</f>
        <v>36757235</v>
      </c>
      <c r="F5" s="30"/>
      <c r="G5" s="30"/>
      <c r="H5" s="31"/>
      <c r="I5" s="7">
        <f>60-23</f>
        <v>37</v>
      </c>
      <c r="J5" s="7"/>
      <c r="K5" s="10" t="e">
        <f>SUM(K3:K4)</f>
        <v>#VALUE!</v>
      </c>
      <c r="L5" s="10"/>
      <c r="M5" s="10"/>
      <c r="N5" s="10"/>
      <c r="O5" s="7"/>
    </row>
    <row r="6" spans="1:15" x14ac:dyDescent="0.3">
      <c r="B6" s="94" t="s">
        <v>70</v>
      </c>
      <c r="C6" s="5"/>
      <c r="D6" s="29" t="s">
        <v>106</v>
      </c>
      <c r="E6" s="98">
        <f>J17</f>
        <v>18174817</v>
      </c>
      <c r="F6" s="30"/>
      <c r="G6" s="30"/>
      <c r="H6" s="31"/>
      <c r="I6" s="7"/>
      <c r="J6" s="7"/>
      <c r="K6" s="10"/>
      <c r="L6" s="10"/>
      <c r="M6" s="10"/>
      <c r="N6" s="10"/>
      <c r="O6" s="7"/>
    </row>
    <row r="7" spans="1:15" x14ac:dyDescent="0.3">
      <c r="B7" s="1">
        <v>183.11</v>
      </c>
      <c r="C7" s="36"/>
      <c r="D7" s="119" t="s">
        <v>74</v>
      </c>
      <c r="E7" s="99">
        <f>E4-E5+E6</f>
        <v>134140369</v>
      </c>
      <c r="F7" s="6"/>
      <c r="G7" s="7"/>
      <c r="H7" s="7"/>
      <c r="I7" s="7"/>
      <c r="J7" s="6"/>
      <c r="K7" s="10"/>
      <c r="L7" s="11"/>
      <c r="M7" s="10"/>
      <c r="N7" s="10"/>
      <c r="O7" s="7"/>
    </row>
    <row r="8" spans="1:15" s="13" customFormat="1" x14ac:dyDescent="0.3">
      <c r="A8" s="38"/>
      <c r="B8" s="18">
        <v>318870</v>
      </c>
      <c r="D8" s="120" t="s">
        <v>75</v>
      </c>
      <c r="E8" s="100">
        <f>ROUND(E7*90%,0)</f>
        <v>120726332</v>
      </c>
      <c r="F8" s="39"/>
      <c r="G8" s="39"/>
      <c r="H8" s="39"/>
      <c r="I8" s="40" t="s">
        <v>102</v>
      </c>
      <c r="J8" s="34" t="s">
        <v>103</v>
      </c>
      <c r="K8" s="39" t="s">
        <v>104</v>
      </c>
      <c r="L8" s="39"/>
      <c r="M8" s="39"/>
      <c r="N8" s="39"/>
      <c r="O8" s="39"/>
    </row>
    <row r="9" spans="1:15" s="13" customFormat="1" x14ac:dyDescent="0.3">
      <c r="A9" s="38"/>
      <c r="B9" s="12">
        <f>ROUND((B7*B8),0)</f>
        <v>58388286</v>
      </c>
      <c r="D9" s="120" t="s">
        <v>76</v>
      </c>
      <c r="E9" s="100">
        <f>ROUND(E7*80%,0)</f>
        <v>107312295</v>
      </c>
      <c r="F9" s="39"/>
      <c r="G9" s="39"/>
      <c r="H9" s="106" t="s">
        <v>83</v>
      </c>
      <c r="I9" s="105">
        <v>41100</v>
      </c>
      <c r="J9" s="35"/>
      <c r="K9" s="117">
        <f>I9-J9</f>
        <v>41100</v>
      </c>
      <c r="L9" s="39"/>
      <c r="M9" s="39"/>
      <c r="N9" s="39"/>
      <c r="O9" s="39"/>
    </row>
    <row r="10" spans="1:15" s="13" customFormat="1" ht="40.5" customHeight="1" x14ac:dyDescent="0.3">
      <c r="A10" s="38"/>
      <c r="D10" s="131" t="s">
        <v>77</v>
      </c>
      <c r="E10" s="131"/>
      <c r="F10" s="124"/>
      <c r="G10" s="39"/>
      <c r="H10" s="106" t="s">
        <v>84</v>
      </c>
      <c r="I10" s="105">
        <v>5155</v>
      </c>
      <c r="J10" s="31"/>
      <c r="K10" s="117">
        <f t="shared" ref="K10:K16" si="0">I10-J10</f>
        <v>5155</v>
      </c>
      <c r="L10" s="39"/>
      <c r="M10" s="39"/>
      <c r="N10" s="41"/>
      <c r="O10" s="39"/>
    </row>
    <row r="11" spans="1:15" s="13" customFormat="1" ht="16.5" hidden="1" customHeight="1" x14ac:dyDescent="0.3">
      <c r="A11" s="38"/>
      <c r="D11" s="123"/>
      <c r="E11" s="124"/>
      <c r="F11" s="124"/>
      <c r="G11" s="39"/>
      <c r="H11" s="106" t="s">
        <v>85</v>
      </c>
      <c r="I11" s="105">
        <v>10311</v>
      </c>
      <c r="J11" s="33"/>
      <c r="K11" s="117">
        <f t="shared" si="0"/>
        <v>10311</v>
      </c>
      <c r="L11" s="39"/>
      <c r="M11" s="39"/>
      <c r="N11" s="41"/>
      <c r="O11" s="39"/>
    </row>
    <row r="12" spans="1:15" x14ac:dyDescent="0.3">
      <c r="D12" s="1" t="s">
        <v>5</v>
      </c>
      <c r="F12" s="19"/>
      <c r="G12" s="21"/>
      <c r="H12" s="106" t="s">
        <v>86</v>
      </c>
      <c r="I12" s="105">
        <v>6692800</v>
      </c>
      <c r="J12" s="125">
        <f>1927130*2</f>
        <v>3854260</v>
      </c>
      <c r="K12" s="117">
        <f t="shared" si="0"/>
        <v>2838540</v>
      </c>
      <c r="L12" s="19"/>
      <c r="M12" s="21"/>
      <c r="N12" s="22"/>
      <c r="O12" s="21"/>
    </row>
    <row r="13" spans="1:15" x14ac:dyDescent="0.3">
      <c r="A13" s="108"/>
      <c r="D13" s="1" t="s">
        <v>78</v>
      </c>
      <c r="E13" s="96">
        <v>355501</v>
      </c>
      <c r="F13" s="19"/>
      <c r="G13" s="21"/>
      <c r="H13" s="106" t="s">
        <v>87</v>
      </c>
      <c r="I13" s="105">
        <v>22328712</v>
      </c>
      <c r="J13" s="125">
        <v>6641400</v>
      </c>
      <c r="K13" s="117">
        <f t="shared" si="0"/>
        <v>15687312</v>
      </c>
      <c r="L13" s="23"/>
      <c r="M13" s="21"/>
      <c r="N13" s="22"/>
      <c r="O13" s="21"/>
    </row>
    <row r="14" spans="1:15" x14ac:dyDescent="0.3">
      <c r="B14" s="109"/>
      <c r="C14" s="32"/>
      <c r="D14" s="1" t="s">
        <v>79</v>
      </c>
      <c r="E14" s="96">
        <v>10678400</v>
      </c>
      <c r="F14" s="19"/>
      <c r="G14" s="21"/>
      <c r="H14" s="106" t="s">
        <v>88</v>
      </c>
      <c r="I14" s="105">
        <f>J14</f>
        <v>182740</v>
      </c>
      <c r="J14" s="125">
        <f>1830+180910</f>
        <v>182740</v>
      </c>
      <c r="K14" s="117">
        <f t="shared" si="0"/>
        <v>0</v>
      </c>
      <c r="L14" s="23"/>
      <c r="M14" s="21"/>
      <c r="N14" s="22"/>
      <c r="O14" s="21"/>
    </row>
    <row r="15" spans="1:15" x14ac:dyDescent="0.3">
      <c r="B15" s="109"/>
      <c r="D15" s="101" t="s">
        <v>80</v>
      </c>
      <c r="E15" s="102"/>
      <c r="F15" s="19"/>
      <c r="G15" s="21"/>
      <c r="H15" s="106" t="s">
        <v>89</v>
      </c>
      <c r="I15" s="105">
        <f>7013550+56566</f>
        <v>7070116</v>
      </c>
      <c r="J15" s="125">
        <f>D28+D27</f>
        <v>7070116</v>
      </c>
      <c r="K15" s="117">
        <f t="shared" si="0"/>
        <v>0</v>
      </c>
      <c r="L15" s="23"/>
      <c r="M15" s="21"/>
      <c r="N15" s="22"/>
      <c r="O15" s="21"/>
    </row>
    <row r="16" spans="1:15" x14ac:dyDescent="0.3">
      <c r="B16" s="109"/>
      <c r="D16" s="1" t="s">
        <v>81</v>
      </c>
      <c r="E16" s="102">
        <v>145000</v>
      </c>
      <c r="F16" s="19"/>
      <c r="G16" s="21"/>
      <c r="H16" s="104" t="s">
        <v>92</v>
      </c>
      <c r="I16" s="105">
        <f>D26+D29</f>
        <v>426301</v>
      </c>
      <c r="J16" s="125">
        <f>D26+D29</f>
        <v>426301</v>
      </c>
      <c r="K16" s="117">
        <f t="shared" si="0"/>
        <v>0</v>
      </c>
      <c r="L16" s="23"/>
      <c r="M16" s="21"/>
      <c r="N16" s="22"/>
      <c r="O16" s="21"/>
    </row>
    <row r="17" spans="2:15" x14ac:dyDescent="0.3">
      <c r="B17" s="109"/>
      <c r="D17" s="1" t="s">
        <v>82</v>
      </c>
      <c r="E17" s="102">
        <v>7013550</v>
      </c>
      <c r="F17" s="19"/>
      <c r="G17" s="21"/>
      <c r="H17" s="21" t="s">
        <v>93</v>
      </c>
      <c r="I17" s="107">
        <f>SUM(I9:I16)</f>
        <v>36757235</v>
      </c>
      <c r="J17" s="126">
        <f>SUM(J9:J16)</f>
        <v>18174817</v>
      </c>
      <c r="K17" s="107">
        <f>SUM(K9:K16)</f>
        <v>18582418</v>
      </c>
      <c r="L17" s="23"/>
      <c r="M17" s="21"/>
      <c r="N17" s="22"/>
      <c r="O17" s="21"/>
    </row>
    <row r="18" spans="2:15" x14ac:dyDescent="0.3">
      <c r="B18" s="109"/>
      <c r="D18" s="1" t="s">
        <v>90</v>
      </c>
      <c r="E18" s="102">
        <v>250750</v>
      </c>
      <c r="F18" s="19"/>
      <c r="G18" s="21"/>
      <c r="H18" s="21"/>
      <c r="I18" s="21"/>
      <c r="J18" s="19"/>
      <c r="K18" s="21"/>
      <c r="L18" s="23"/>
      <c r="M18" s="21"/>
      <c r="N18" s="22"/>
      <c r="O18" s="21"/>
    </row>
    <row r="19" spans="2:15" x14ac:dyDescent="0.3">
      <c r="B19" s="109"/>
      <c r="D19" s="1" t="s">
        <v>91</v>
      </c>
      <c r="E19" s="102">
        <v>70800</v>
      </c>
      <c r="F19" s="19"/>
      <c r="G19" s="21"/>
      <c r="H19" s="21"/>
      <c r="I19" s="21"/>
      <c r="J19" s="19"/>
      <c r="K19" s="21"/>
      <c r="L19" s="23"/>
      <c r="M19" s="21"/>
      <c r="N19" s="22"/>
      <c r="O19" s="21"/>
    </row>
    <row r="20" spans="2:15" x14ac:dyDescent="0.3">
      <c r="B20" s="109"/>
      <c r="E20" s="102">
        <f>SUM(E13:E19)</f>
        <v>18514001</v>
      </c>
      <c r="F20" s="19"/>
      <c r="G20" s="21"/>
      <c r="H20" s="21"/>
      <c r="I20" s="21"/>
      <c r="J20" s="19"/>
      <c r="K20" s="21"/>
      <c r="L20" s="19"/>
      <c r="M20" s="21"/>
      <c r="N20" s="21"/>
      <c r="O20" s="21"/>
    </row>
    <row r="21" spans="2:15" x14ac:dyDescent="0.3">
      <c r="B21" s="109"/>
      <c r="E21" s="103"/>
      <c r="F21" s="19"/>
      <c r="G21" s="21"/>
      <c r="H21" s="21"/>
      <c r="I21" s="21"/>
      <c r="J21" s="19"/>
      <c r="K21" s="21"/>
      <c r="L21" s="19"/>
      <c r="M21" s="21"/>
      <c r="N21" s="21"/>
      <c r="O21" s="21"/>
    </row>
    <row r="22" spans="2:15" ht="17.25" thickBot="1" x14ac:dyDescent="0.35">
      <c r="B22" s="109"/>
      <c r="F22" s="19"/>
      <c r="G22" s="21"/>
      <c r="H22" s="21"/>
      <c r="I22" s="21"/>
      <c r="J22" s="19"/>
      <c r="K22" s="21"/>
      <c r="L22" s="19"/>
      <c r="M22" s="21"/>
      <c r="N22" s="21"/>
      <c r="O22" s="21"/>
    </row>
    <row r="23" spans="2:15" ht="17.25" thickBot="1" x14ac:dyDescent="0.35">
      <c r="B23" s="111" t="s">
        <v>94</v>
      </c>
      <c r="C23" s="112" t="s">
        <v>95</v>
      </c>
      <c r="D23" s="112" t="s">
        <v>96</v>
      </c>
      <c r="F23" s="19"/>
      <c r="G23" s="21"/>
      <c r="H23" s="21"/>
      <c r="I23" s="21"/>
      <c r="J23" s="19"/>
      <c r="K23" s="21"/>
      <c r="L23" s="19"/>
      <c r="M23" s="21"/>
      <c r="N23" s="21"/>
      <c r="O23" s="21"/>
    </row>
    <row r="24" spans="2:15" ht="69.75" customHeight="1" x14ac:dyDescent="0.3">
      <c r="B24" s="127">
        <v>1</v>
      </c>
      <c r="C24" s="127" t="s">
        <v>97</v>
      </c>
      <c r="D24" s="129">
        <v>10678400</v>
      </c>
      <c r="F24" s="19"/>
      <c r="G24" s="21"/>
      <c r="H24" s="21"/>
      <c r="I24" s="21"/>
      <c r="J24" s="19"/>
      <c r="K24" s="21"/>
      <c r="L24" s="19"/>
      <c r="M24" s="21"/>
      <c r="N24" s="21"/>
      <c r="O24" s="21"/>
    </row>
    <row r="25" spans="2:15" ht="8.25" customHeight="1" thickBot="1" x14ac:dyDescent="0.35">
      <c r="B25" s="128"/>
      <c r="C25" s="128"/>
      <c r="D25" s="130"/>
      <c r="F25" s="19"/>
      <c r="G25" s="21"/>
      <c r="H25" s="21"/>
      <c r="I25" s="21"/>
      <c r="J25" s="19"/>
      <c r="K25" s="21"/>
      <c r="L25" s="19"/>
      <c r="M25" s="21"/>
      <c r="N25" s="21"/>
      <c r="O25" s="21"/>
    </row>
    <row r="26" spans="2:15" ht="18.75" customHeight="1" thickBot="1" x14ac:dyDescent="0.35">
      <c r="B26" s="114">
        <v>2</v>
      </c>
      <c r="C26" s="113" t="s">
        <v>98</v>
      </c>
      <c r="D26" s="115">
        <v>355501</v>
      </c>
      <c r="F26" s="19"/>
      <c r="G26" s="21"/>
      <c r="H26" s="21"/>
      <c r="I26" s="21"/>
      <c r="J26" s="19"/>
      <c r="K26" s="21"/>
      <c r="L26" s="19"/>
      <c r="M26" s="21"/>
      <c r="N26" s="21"/>
      <c r="O26" s="21"/>
    </row>
    <row r="27" spans="2:15" ht="21" customHeight="1" thickBot="1" x14ac:dyDescent="0.35">
      <c r="B27" s="114">
        <v>3</v>
      </c>
      <c r="C27" s="116" t="s">
        <v>101</v>
      </c>
      <c r="D27" s="115">
        <v>2104065</v>
      </c>
      <c r="F27" s="19"/>
      <c r="G27" s="21"/>
      <c r="H27" s="21"/>
      <c r="I27" s="21"/>
      <c r="J27" s="19"/>
      <c r="K27" s="21"/>
      <c r="L27" s="19"/>
      <c r="M27" s="21"/>
      <c r="N27" s="21"/>
      <c r="O27" s="21"/>
    </row>
    <row r="28" spans="2:15" ht="95.25" customHeight="1" thickBot="1" x14ac:dyDescent="0.35">
      <c r="B28" s="114">
        <v>3</v>
      </c>
      <c r="C28" s="113" t="s">
        <v>99</v>
      </c>
      <c r="D28" s="115">
        <v>4966051</v>
      </c>
      <c r="F28" s="19"/>
      <c r="G28" s="21"/>
      <c r="H28" s="21"/>
      <c r="I28" s="21"/>
      <c r="J28" s="19"/>
      <c r="K28" s="21"/>
      <c r="L28" s="19"/>
      <c r="M28" s="21"/>
      <c r="N28" s="21"/>
      <c r="O28" s="21"/>
    </row>
    <row r="29" spans="2:15" ht="17.25" thickBot="1" x14ac:dyDescent="0.35">
      <c r="B29" s="114">
        <v>4</v>
      </c>
      <c r="C29" s="113" t="s">
        <v>100</v>
      </c>
      <c r="D29" s="115">
        <v>70800</v>
      </c>
      <c r="F29" s="19"/>
      <c r="G29" s="21"/>
      <c r="H29" s="21"/>
      <c r="I29" s="21"/>
      <c r="J29" s="19"/>
      <c r="K29" s="21"/>
      <c r="L29" s="19"/>
      <c r="M29" s="21"/>
      <c r="N29" s="21"/>
      <c r="O29" s="21"/>
    </row>
    <row r="30" spans="2:15" x14ac:dyDescent="0.3">
      <c r="D30" s="103">
        <f>SUM(D24:D29)</f>
        <v>18174817</v>
      </c>
      <c r="F30" s="19"/>
      <c r="G30" s="21"/>
      <c r="H30" s="21"/>
      <c r="I30" s="21"/>
      <c r="J30" s="19"/>
      <c r="K30" s="21"/>
      <c r="L30" s="19"/>
      <c r="M30" s="21"/>
      <c r="N30" s="21"/>
      <c r="O30" s="21"/>
    </row>
    <row r="31" spans="2:15" x14ac:dyDescent="0.3">
      <c r="F31" s="19"/>
      <c r="G31" s="24"/>
      <c r="H31" s="24"/>
      <c r="I31" s="24"/>
      <c r="J31" s="25"/>
      <c r="K31" s="21"/>
      <c r="L31" s="19"/>
      <c r="M31" s="21"/>
      <c r="N31" s="21"/>
      <c r="O31" s="21"/>
    </row>
    <row r="32" spans="2:15" x14ac:dyDescent="0.3">
      <c r="F32" s="19"/>
      <c r="G32" s="22"/>
      <c r="H32" s="19"/>
      <c r="I32" s="22"/>
      <c r="J32" s="19"/>
      <c r="K32" s="21"/>
      <c r="L32" s="19"/>
      <c r="M32" s="21"/>
      <c r="N32" s="21"/>
      <c r="O32" s="21"/>
    </row>
    <row r="33" spans="6:15" x14ac:dyDescent="0.3">
      <c r="F33" s="19"/>
      <c r="G33" s="22"/>
      <c r="H33" s="22"/>
      <c r="I33" s="26"/>
      <c r="J33" s="19"/>
      <c r="K33" s="21"/>
      <c r="L33" s="19"/>
      <c r="M33" s="21"/>
      <c r="N33" s="21"/>
      <c r="O33" s="21"/>
    </row>
    <row r="34" spans="6:15" x14ac:dyDescent="0.3">
      <c r="F34" s="19"/>
      <c r="G34" s="22"/>
      <c r="H34" s="22"/>
      <c r="I34" s="22"/>
      <c r="J34" s="19"/>
      <c r="K34" s="21"/>
      <c r="L34" s="19"/>
      <c r="M34" s="21"/>
      <c r="N34" s="21"/>
      <c r="O34" s="21"/>
    </row>
    <row r="35" spans="6:15" x14ac:dyDescent="0.3">
      <c r="F35" s="19"/>
      <c r="G35" s="22"/>
      <c r="H35" s="27"/>
      <c r="I35" s="22"/>
      <c r="J35" s="19"/>
      <c r="K35" s="21"/>
      <c r="L35" s="19"/>
      <c r="M35" s="21"/>
      <c r="N35" s="21"/>
      <c r="O35" s="21"/>
    </row>
    <row r="36" spans="6:15" x14ac:dyDescent="0.3">
      <c r="F36" s="19"/>
      <c r="G36" s="22"/>
      <c r="H36" s="22"/>
      <c r="I36" s="22"/>
      <c r="J36" s="19"/>
      <c r="K36" s="21"/>
      <c r="L36" s="19"/>
      <c r="M36" s="21"/>
      <c r="N36" s="21"/>
      <c r="O36" s="21"/>
    </row>
    <row r="37" spans="6:15" x14ac:dyDescent="0.3">
      <c r="F37" s="19"/>
      <c r="G37" s="22"/>
      <c r="H37" s="22"/>
      <c r="I37" s="22"/>
      <c r="J37" s="19"/>
      <c r="K37" s="21"/>
      <c r="L37" s="19"/>
      <c r="M37" s="21"/>
      <c r="N37" s="21"/>
      <c r="O37" s="21"/>
    </row>
    <row r="38" spans="6:15" x14ac:dyDescent="0.3">
      <c r="F38" s="19"/>
      <c r="G38" s="22"/>
      <c r="H38" s="22"/>
      <c r="I38" s="22"/>
      <c r="J38" s="19"/>
      <c r="K38" s="21"/>
      <c r="L38" s="19"/>
      <c r="M38" s="21"/>
      <c r="N38" s="21"/>
      <c r="O38" s="21"/>
    </row>
    <row r="39" spans="6:15" x14ac:dyDescent="0.3">
      <c r="F39" s="19"/>
      <c r="G39" s="22"/>
      <c r="H39" s="22"/>
      <c r="I39" s="22"/>
      <c r="J39" s="19"/>
      <c r="K39" s="21"/>
      <c r="L39" s="19"/>
      <c r="M39" s="21"/>
      <c r="N39" s="21"/>
      <c r="O39" s="21"/>
    </row>
    <row r="40" spans="6:15" x14ac:dyDescent="0.3">
      <c r="F40" s="19"/>
      <c r="G40" s="22"/>
      <c r="H40" s="22"/>
      <c r="I40" s="22"/>
      <c r="J40" s="19"/>
      <c r="K40" s="21"/>
      <c r="L40" s="19"/>
      <c r="M40" s="21"/>
      <c r="N40" s="21"/>
      <c r="O40" s="21"/>
    </row>
    <row r="41" spans="6:15" x14ac:dyDescent="0.3">
      <c r="F41" s="19"/>
      <c r="G41" s="22"/>
      <c r="H41" s="22"/>
      <c r="I41" s="22"/>
      <c r="J41" s="19"/>
      <c r="K41" s="21"/>
      <c r="L41" s="19"/>
      <c r="M41" s="21"/>
      <c r="N41" s="21"/>
      <c r="O41" s="21"/>
    </row>
    <row r="42" spans="6:15" x14ac:dyDescent="0.3">
      <c r="F42" s="19"/>
      <c r="G42" s="21"/>
      <c r="H42" s="21"/>
      <c r="I42" s="21"/>
      <c r="J42" s="19"/>
      <c r="K42" s="21"/>
      <c r="L42" s="19"/>
      <c r="M42" s="21"/>
      <c r="N42" s="21"/>
      <c r="O42" s="21"/>
    </row>
    <row r="43" spans="6:15" x14ac:dyDescent="0.3">
      <c r="F43" s="19"/>
      <c r="G43" s="21"/>
      <c r="H43" s="21"/>
      <c r="I43" s="21"/>
      <c r="J43" s="19"/>
      <c r="K43" s="21"/>
      <c r="L43" s="19"/>
      <c r="M43" s="21"/>
      <c r="N43" s="21"/>
      <c r="O43" s="21"/>
    </row>
    <row r="44" spans="6:15" x14ac:dyDescent="0.3">
      <c r="F44" s="19"/>
      <c r="G44" s="21"/>
      <c r="H44" s="21"/>
      <c r="I44" s="21"/>
      <c r="J44" s="19"/>
      <c r="K44" s="21"/>
      <c r="L44" s="19"/>
      <c r="M44" s="21"/>
      <c r="N44" s="21"/>
      <c r="O44" s="21"/>
    </row>
    <row r="45" spans="6:15" x14ac:dyDescent="0.3">
      <c r="F45" s="19"/>
      <c r="G45" s="21"/>
      <c r="H45" s="21"/>
      <c r="I45" s="21"/>
      <c r="J45" s="19"/>
      <c r="K45" s="21"/>
      <c r="L45" s="19"/>
      <c r="M45" s="21"/>
      <c r="N45" s="21"/>
      <c r="O45" s="21"/>
    </row>
    <row r="46" spans="6:15" x14ac:dyDescent="0.3">
      <c r="F46" s="19"/>
      <c r="G46" s="21"/>
      <c r="H46" s="21"/>
      <c r="I46" s="21"/>
      <c r="J46" s="19"/>
      <c r="K46" s="21"/>
      <c r="L46" s="19"/>
      <c r="M46" s="21"/>
      <c r="N46" s="21"/>
      <c r="O46" s="21"/>
    </row>
    <row r="47" spans="6:15" x14ac:dyDescent="0.3">
      <c r="F47" s="19"/>
      <c r="G47" s="28"/>
      <c r="H47" s="21"/>
      <c r="I47" s="21"/>
      <c r="J47" s="19"/>
      <c r="K47" s="21"/>
      <c r="L47" s="19"/>
      <c r="M47" s="21"/>
      <c r="N47" s="21"/>
      <c r="O47" s="21"/>
    </row>
    <row r="48" spans="6:15" x14ac:dyDescent="0.3">
      <c r="F48" s="19"/>
      <c r="G48" s="28"/>
      <c r="H48" s="21"/>
      <c r="I48" s="21"/>
      <c r="J48" s="19"/>
      <c r="K48" s="21"/>
      <c r="L48" s="19"/>
      <c r="M48" s="21"/>
      <c r="N48" s="21"/>
      <c r="O48" s="21"/>
    </row>
    <row r="49" spans="6:15" x14ac:dyDescent="0.3">
      <c r="F49" s="19"/>
      <c r="G49" s="28"/>
      <c r="H49" s="21"/>
      <c r="I49" s="21"/>
      <c r="J49" s="19"/>
      <c r="K49" s="21"/>
      <c r="L49" s="19"/>
      <c r="M49" s="21"/>
      <c r="N49" s="21"/>
      <c r="O49" s="21"/>
    </row>
    <row r="50" spans="6:15" x14ac:dyDescent="0.3">
      <c r="F50" s="19"/>
      <c r="G50" s="28"/>
      <c r="H50" s="21"/>
      <c r="I50" s="21"/>
      <c r="J50" s="19"/>
      <c r="K50" s="21"/>
      <c r="L50" s="19"/>
      <c r="M50" s="21"/>
      <c r="N50" s="21"/>
      <c r="O50" s="21"/>
    </row>
    <row r="51" spans="6:15" x14ac:dyDescent="0.3">
      <c r="F51" s="19"/>
      <c r="G51" s="28"/>
      <c r="H51" s="21"/>
      <c r="I51" s="21"/>
      <c r="J51" s="19"/>
      <c r="K51" s="21"/>
      <c r="L51" s="19"/>
      <c r="M51" s="21"/>
      <c r="N51" s="21"/>
      <c r="O51" s="21"/>
    </row>
    <row r="52" spans="6:15" x14ac:dyDescent="0.3">
      <c r="F52" s="19"/>
      <c r="G52" s="28"/>
      <c r="H52" s="21"/>
      <c r="I52" s="21"/>
      <c r="J52" s="19"/>
      <c r="K52" s="21"/>
      <c r="L52" s="19"/>
      <c r="M52" s="21"/>
      <c r="N52" s="21"/>
      <c r="O52" s="21"/>
    </row>
    <row r="53" spans="6:15" x14ac:dyDescent="0.3">
      <c r="F53" s="19"/>
      <c r="G53" s="28"/>
      <c r="H53" s="21"/>
      <c r="I53" s="21"/>
      <c r="J53" s="19"/>
      <c r="K53" s="21"/>
      <c r="L53" s="19"/>
      <c r="M53" s="21"/>
      <c r="N53" s="21"/>
      <c r="O53" s="21"/>
    </row>
    <row r="54" spans="6:15" x14ac:dyDescent="0.3">
      <c r="F54" s="19"/>
      <c r="G54" s="28"/>
      <c r="H54" s="21"/>
      <c r="I54" s="21"/>
      <c r="J54" s="19"/>
      <c r="K54" s="21"/>
      <c r="L54" s="19"/>
      <c r="M54" s="21"/>
      <c r="N54" s="21"/>
      <c r="O54" s="21"/>
    </row>
    <row r="55" spans="6:15" x14ac:dyDescent="0.3">
      <c r="F55" s="19"/>
      <c r="G55" s="28"/>
      <c r="H55" s="21"/>
      <c r="I55" s="21"/>
      <c r="J55" s="19"/>
      <c r="K55" s="21"/>
      <c r="L55" s="19"/>
      <c r="M55" s="21"/>
      <c r="N55" s="21"/>
      <c r="O55" s="21"/>
    </row>
    <row r="56" spans="6:15" x14ac:dyDescent="0.3">
      <c r="F56" s="19"/>
      <c r="G56" s="28"/>
      <c r="H56" s="21"/>
      <c r="I56" s="21"/>
      <c r="J56" s="19"/>
      <c r="K56" s="21"/>
      <c r="L56" s="19"/>
      <c r="M56" s="21"/>
      <c r="N56" s="21"/>
      <c r="O56" s="21"/>
    </row>
    <row r="57" spans="6:15" x14ac:dyDescent="0.3">
      <c r="F57" s="19"/>
      <c r="G57" s="21"/>
      <c r="H57" s="21"/>
      <c r="I57" s="21"/>
      <c r="J57" s="19"/>
      <c r="K57" s="21"/>
      <c r="L57" s="19"/>
      <c r="M57" s="21"/>
      <c r="N57" s="21"/>
      <c r="O57" s="21"/>
    </row>
    <row r="58" spans="6:15" x14ac:dyDescent="0.3">
      <c r="F58" s="19"/>
      <c r="G58" s="21"/>
      <c r="H58" s="21"/>
      <c r="I58" s="21"/>
      <c r="J58" s="19"/>
      <c r="K58" s="21"/>
      <c r="L58" s="19"/>
      <c r="M58" s="21"/>
      <c r="N58" s="21"/>
      <c r="O58" s="21"/>
    </row>
    <row r="59" spans="6:15" x14ac:dyDescent="0.3">
      <c r="F59" s="19"/>
      <c r="G59" s="21"/>
      <c r="H59" s="21"/>
      <c r="I59" s="21"/>
      <c r="J59" s="19"/>
      <c r="K59" s="21"/>
      <c r="L59" s="19"/>
      <c r="M59" s="21"/>
      <c r="N59" s="21"/>
      <c r="O59" s="21"/>
    </row>
    <row r="60" spans="6:15" x14ac:dyDescent="0.3">
      <c r="F60" s="19"/>
      <c r="G60" s="21"/>
      <c r="H60" s="21"/>
      <c r="I60" s="21"/>
      <c r="J60" s="19"/>
      <c r="K60" s="21"/>
      <c r="L60" s="19"/>
      <c r="M60" s="21"/>
      <c r="N60" s="21"/>
      <c r="O60" s="21"/>
    </row>
    <row r="61" spans="6:15" x14ac:dyDescent="0.3">
      <c r="F61" s="19"/>
      <c r="G61" s="21"/>
      <c r="H61" s="21"/>
      <c r="I61" s="21"/>
      <c r="J61" s="19"/>
      <c r="K61" s="21"/>
      <c r="L61" s="19"/>
      <c r="M61" s="21"/>
      <c r="N61" s="21"/>
      <c r="O61" s="21"/>
    </row>
    <row r="62" spans="6:15" x14ac:dyDescent="0.3">
      <c r="F62" s="19"/>
      <c r="G62" s="21"/>
      <c r="H62" s="21"/>
      <c r="I62" s="21"/>
      <c r="J62" s="19"/>
      <c r="K62" s="21"/>
      <c r="L62" s="19"/>
      <c r="M62" s="21"/>
      <c r="N62" s="21"/>
      <c r="O62" s="21"/>
    </row>
    <row r="63" spans="6:15" x14ac:dyDescent="0.3">
      <c r="F63" s="19"/>
      <c r="G63" s="21"/>
      <c r="H63" s="21"/>
      <c r="I63" s="21"/>
      <c r="J63" s="19"/>
      <c r="K63" s="21"/>
      <c r="L63" s="19"/>
      <c r="M63" s="21"/>
      <c r="N63" s="21"/>
      <c r="O63" s="21"/>
    </row>
    <row r="64" spans="6:15" x14ac:dyDescent="0.3">
      <c r="F64" s="19"/>
      <c r="G64" s="21"/>
      <c r="H64" s="21"/>
      <c r="I64" s="21"/>
      <c r="J64" s="19"/>
      <c r="K64" s="21"/>
      <c r="L64" s="19"/>
      <c r="M64" s="21"/>
      <c r="N64" s="21"/>
      <c r="O64" s="21"/>
    </row>
    <row r="65" spans="6:15" x14ac:dyDescent="0.3">
      <c r="F65" s="19"/>
      <c r="G65" s="21"/>
      <c r="H65" s="21"/>
      <c r="I65" s="21"/>
      <c r="J65" s="19"/>
      <c r="K65" s="21"/>
      <c r="L65" s="19"/>
      <c r="M65" s="21"/>
      <c r="N65" s="21"/>
      <c r="O65" s="21"/>
    </row>
    <row r="66" spans="6:15" x14ac:dyDescent="0.3">
      <c r="F66" s="19"/>
      <c r="G66" s="21"/>
      <c r="H66" s="21"/>
      <c r="I66" s="21"/>
      <c r="J66" s="19"/>
      <c r="K66" s="21"/>
      <c r="L66" s="19"/>
      <c r="M66" s="21"/>
      <c r="N66" s="21"/>
      <c r="O66" s="21"/>
    </row>
    <row r="67" spans="6:15" x14ac:dyDescent="0.3">
      <c r="F67" s="19"/>
      <c r="G67" s="21"/>
      <c r="H67" s="21"/>
      <c r="I67" s="21"/>
      <c r="J67" s="19"/>
      <c r="K67" s="21"/>
      <c r="L67" s="19"/>
      <c r="M67" s="21"/>
      <c r="N67" s="21"/>
      <c r="O67" s="21"/>
    </row>
    <row r="68" spans="6:15" x14ac:dyDescent="0.3">
      <c r="F68" s="19"/>
      <c r="G68" s="21"/>
      <c r="H68" s="21"/>
      <c r="I68" s="21"/>
      <c r="J68" s="19"/>
      <c r="K68" s="21"/>
      <c r="L68" s="19"/>
      <c r="M68" s="21"/>
      <c r="N68" s="21"/>
      <c r="O68" s="21"/>
    </row>
    <row r="69" spans="6:15" x14ac:dyDescent="0.3">
      <c r="F69" s="19"/>
      <c r="G69" s="21"/>
      <c r="H69" s="21"/>
      <c r="I69" s="21"/>
      <c r="J69" s="19"/>
      <c r="K69" s="21"/>
      <c r="L69" s="19"/>
      <c r="M69" s="21"/>
      <c r="N69" s="21"/>
      <c r="O69" s="21"/>
    </row>
    <row r="70" spans="6:15" x14ac:dyDescent="0.3">
      <c r="F70" s="19"/>
      <c r="G70" s="21"/>
      <c r="H70" s="21"/>
      <c r="I70" s="21"/>
      <c r="J70" s="19"/>
      <c r="K70" s="21"/>
      <c r="L70" s="19"/>
      <c r="M70" s="21"/>
      <c r="N70" s="21"/>
      <c r="O70" s="21"/>
    </row>
    <row r="71" spans="6:15" x14ac:dyDescent="0.3">
      <c r="F71" s="19"/>
      <c r="G71" s="21"/>
      <c r="H71" s="21"/>
      <c r="I71" s="21"/>
      <c r="J71" s="19"/>
      <c r="K71" s="21"/>
      <c r="L71" s="19"/>
      <c r="M71" s="21"/>
      <c r="N71" s="21"/>
      <c r="O71" s="21"/>
    </row>
    <row r="72" spans="6:15" x14ac:dyDescent="0.3">
      <c r="F72" s="19"/>
      <c r="G72" s="21"/>
      <c r="H72" s="21"/>
      <c r="I72" s="21"/>
      <c r="J72" s="19"/>
      <c r="K72" s="21"/>
      <c r="L72" s="19"/>
      <c r="M72" s="21"/>
      <c r="N72" s="21"/>
      <c r="O72" s="21"/>
    </row>
    <row r="73" spans="6:15" x14ac:dyDescent="0.3">
      <c r="F73" s="19"/>
      <c r="G73" s="21"/>
      <c r="H73" s="21"/>
      <c r="I73" s="21"/>
      <c r="J73" s="19"/>
      <c r="K73" s="21"/>
      <c r="L73" s="19"/>
      <c r="M73" s="21"/>
      <c r="N73" s="21"/>
      <c r="O73" s="21"/>
    </row>
    <row r="74" spans="6:15" x14ac:dyDescent="0.3">
      <c r="F74" s="19"/>
      <c r="G74" s="21"/>
      <c r="H74" s="21"/>
      <c r="I74" s="21"/>
      <c r="J74" s="19"/>
      <c r="K74" s="21"/>
      <c r="L74" s="19"/>
      <c r="M74" s="21"/>
      <c r="N74" s="21"/>
      <c r="O74" s="21"/>
    </row>
    <row r="75" spans="6:15" x14ac:dyDescent="0.3">
      <c r="F75" s="19"/>
      <c r="G75" s="21"/>
      <c r="H75" s="21"/>
      <c r="I75" s="21"/>
      <c r="J75" s="19"/>
      <c r="K75" s="21"/>
      <c r="L75" s="19"/>
      <c r="M75" s="21"/>
      <c r="N75" s="21"/>
      <c r="O75" s="21"/>
    </row>
    <row r="76" spans="6:15" x14ac:dyDescent="0.3">
      <c r="F76" s="19"/>
      <c r="G76" s="21"/>
      <c r="H76" s="21"/>
      <c r="I76" s="21"/>
      <c r="J76" s="19"/>
      <c r="K76" s="21"/>
      <c r="L76" s="19"/>
      <c r="M76" s="21"/>
      <c r="N76" s="21"/>
      <c r="O76" s="21"/>
    </row>
    <row r="77" spans="6:15" x14ac:dyDescent="0.3">
      <c r="F77" s="19"/>
      <c r="G77" s="21"/>
      <c r="H77" s="21"/>
      <c r="I77" s="21"/>
      <c r="J77" s="19"/>
      <c r="K77" s="21"/>
      <c r="L77" s="19"/>
      <c r="M77" s="21"/>
      <c r="N77" s="21"/>
      <c r="O77" s="21"/>
    </row>
    <row r="78" spans="6:15" x14ac:dyDescent="0.3">
      <c r="F78" s="19"/>
      <c r="G78" s="21"/>
      <c r="H78" s="21"/>
      <c r="I78" s="21"/>
      <c r="J78" s="19"/>
      <c r="K78" s="21"/>
      <c r="L78" s="19"/>
      <c r="M78" s="21"/>
      <c r="N78" s="21"/>
      <c r="O78" s="21"/>
    </row>
    <row r="79" spans="6:15" x14ac:dyDescent="0.3">
      <c r="F79" s="19"/>
      <c r="G79" s="21"/>
      <c r="H79" s="21"/>
      <c r="I79" s="21"/>
      <c r="J79" s="19"/>
      <c r="K79" s="21"/>
      <c r="L79" s="19"/>
      <c r="M79" s="21"/>
      <c r="N79" s="21"/>
      <c r="O79" s="21"/>
    </row>
    <row r="80" spans="6:15" x14ac:dyDescent="0.3">
      <c r="F80" s="19"/>
      <c r="G80" s="21"/>
      <c r="H80" s="21"/>
      <c r="I80" s="21"/>
      <c r="J80" s="19"/>
      <c r="K80" s="21"/>
      <c r="L80" s="19"/>
      <c r="M80" s="21"/>
      <c r="N80" s="21"/>
      <c r="O80" s="21"/>
    </row>
    <row r="81" spans="6:15" x14ac:dyDescent="0.3">
      <c r="F81" s="19"/>
      <c r="G81" s="21"/>
      <c r="H81" s="21"/>
      <c r="I81" s="21"/>
      <c r="J81" s="19"/>
      <c r="K81" s="21"/>
      <c r="L81" s="19"/>
      <c r="M81" s="21"/>
      <c r="N81" s="21"/>
      <c r="O81" s="21"/>
    </row>
    <row r="82" spans="6:15" x14ac:dyDescent="0.3">
      <c r="F82" s="19"/>
      <c r="G82" s="21"/>
      <c r="H82" s="21"/>
      <c r="I82" s="21"/>
      <c r="J82" s="19"/>
      <c r="K82" s="21"/>
      <c r="L82" s="19"/>
      <c r="M82" s="21"/>
      <c r="N82" s="21"/>
      <c r="O82" s="21"/>
    </row>
    <row r="83" spans="6:15" x14ac:dyDescent="0.3">
      <c r="F83" s="19"/>
      <c r="G83" s="21"/>
      <c r="H83" s="21"/>
      <c r="I83" s="21"/>
      <c r="J83" s="19"/>
      <c r="K83" s="21"/>
      <c r="L83" s="19"/>
      <c r="M83" s="21"/>
      <c r="N83" s="21"/>
      <c r="O83" s="21"/>
    </row>
    <row r="84" spans="6:15" x14ac:dyDescent="0.3">
      <c r="F84" s="19"/>
      <c r="G84" s="21"/>
      <c r="H84" s="21"/>
      <c r="I84" s="21"/>
      <c r="J84" s="19"/>
      <c r="K84" s="21"/>
      <c r="L84" s="19"/>
      <c r="M84" s="21"/>
      <c r="N84" s="21"/>
      <c r="O84" s="21"/>
    </row>
    <row r="85" spans="6:15" x14ac:dyDescent="0.3">
      <c r="F85" s="19"/>
      <c r="G85" s="21"/>
      <c r="H85" s="21"/>
      <c r="I85" s="21"/>
      <c r="J85" s="19"/>
      <c r="K85" s="21"/>
      <c r="L85" s="19"/>
      <c r="M85" s="21"/>
      <c r="N85" s="21"/>
      <c r="O85" s="21"/>
    </row>
    <row r="86" spans="6:15" x14ac:dyDescent="0.3">
      <c r="F86" s="19"/>
      <c r="G86" s="21"/>
      <c r="H86" s="21"/>
      <c r="I86" s="21"/>
      <c r="J86" s="19"/>
      <c r="K86" s="21"/>
      <c r="L86" s="19"/>
      <c r="M86" s="21"/>
      <c r="N86" s="21"/>
      <c r="O86" s="21"/>
    </row>
    <row r="87" spans="6:15" x14ac:dyDescent="0.3">
      <c r="F87" s="19"/>
      <c r="G87" s="21"/>
      <c r="H87" s="21"/>
      <c r="I87" s="21"/>
      <c r="J87" s="19"/>
      <c r="K87" s="21"/>
      <c r="L87" s="19"/>
      <c r="M87" s="21"/>
      <c r="N87" s="21"/>
      <c r="O87" s="21"/>
    </row>
    <row r="88" spans="6:15" x14ac:dyDescent="0.3">
      <c r="F88" s="19"/>
      <c r="G88" s="21"/>
      <c r="H88" s="21"/>
      <c r="I88" s="21"/>
      <c r="J88" s="19"/>
      <c r="K88" s="21"/>
      <c r="L88" s="19"/>
      <c r="M88" s="21"/>
      <c r="N88" s="21"/>
      <c r="O88" s="21"/>
    </row>
    <row r="89" spans="6:15" x14ac:dyDescent="0.3">
      <c r="F89" s="19"/>
      <c r="G89" s="21"/>
      <c r="H89" s="21"/>
      <c r="I89" s="21"/>
      <c r="J89" s="19"/>
      <c r="K89" s="21"/>
      <c r="L89" s="19"/>
      <c r="M89" s="21"/>
      <c r="N89" s="21"/>
      <c r="O89" s="21"/>
    </row>
    <row r="90" spans="6:15" x14ac:dyDescent="0.3">
      <c r="F90" s="19"/>
      <c r="G90" s="21"/>
      <c r="H90" s="21"/>
      <c r="I90" s="21"/>
      <c r="J90" s="19"/>
      <c r="K90" s="21"/>
      <c r="L90" s="19"/>
      <c r="M90" s="21"/>
      <c r="N90" s="21"/>
      <c r="O90" s="21"/>
    </row>
    <row r="91" spans="6:15" x14ac:dyDescent="0.3">
      <c r="F91" s="19"/>
      <c r="G91" s="21"/>
      <c r="H91" s="21"/>
      <c r="I91" s="21"/>
      <c r="J91" s="19"/>
      <c r="K91" s="21"/>
      <c r="L91" s="19"/>
      <c r="M91" s="21"/>
      <c r="N91" s="21"/>
      <c r="O91" s="21"/>
    </row>
    <row r="92" spans="6:15" x14ac:dyDescent="0.3">
      <c r="F92" s="19"/>
      <c r="G92" s="21"/>
      <c r="H92" s="21"/>
      <c r="I92" s="21"/>
      <c r="J92" s="19"/>
      <c r="K92" s="21"/>
      <c r="L92" s="19"/>
      <c r="M92" s="21"/>
      <c r="N92" s="21"/>
      <c r="O92" s="21"/>
    </row>
    <row r="93" spans="6:15" x14ac:dyDescent="0.3">
      <c r="F93" s="19"/>
      <c r="G93" s="21"/>
      <c r="H93" s="21"/>
      <c r="I93" s="21"/>
      <c r="J93" s="19"/>
      <c r="K93" s="21"/>
      <c r="L93" s="19"/>
      <c r="M93" s="21"/>
      <c r="N93" s="21"/>
      <c r="O93" s="21"/>
    </row>
    <row r="94" spans="6:15" x14ac:dyDescent="0.3">
      <c r="F94" s="19"/>
      <c r="G94" s="21"/>
      <c r="H94" s="21"/>
      <c r="I94" s="21"/>
      <c r="J94" s="19"/>
      <c r="K94" s="21"/>
      <c r="L94" s="19"/>
      <c r="M94" s="21"/>
      <c r="N94" s="21"/>
      <c r="O94" s="21"/>
    </row>
    <row r="95" spans="6:15" x14ac:dyDescent="0.3">
      <c r="F95" s="19"/>
      <c r="G95" s="21"/>
      <c r="H95" s="21"/>
      <c r="I95" s="21"/>
      <c r="J95" s="19"/>
      <c r="K95" s="21"/>
      <c r="L95" s="19"/>
      <c r="M95" s="21"/>
      <c r="N95" s="21"/>
      <c r="O95" s="21"/>
    </row>
    <row r="96" spans="6:15" x14ac:dyDescent="0.3">
      <c r="F96" s="19"/>
      <c r="G96" s="21"/>
      <c r="H96" s="21"/>
      <c r="I96" s="21"/>
      <c r="J96" s="19"/>
      <c r="K96" s="21"/>
      <c r="L96" s="19"/>
      <c r="M96" s="21"/>
      <c r="N96" s="21"/>
      <c r="O96" s="21"/>
    </row>
    <row r="97" spans="6:15" x14ac:dyDescent="0.3">
      <c r="F97" s="19"/>
      <c r="G97" s="21"/>
      <c r="H97" s="21"/>
      <c r="I97" s="21"/>
      <c r="J97" s="19"/>
      <c r="K97" s="21"/>
      <c r="L97" s="19"/>
      <c r="M97" s="21"/>
      <c r="N97" s="21"/>
      <c r="O97" s="21"/>
    </row>
    <row r="98" spans="6:15" x14ac:dyDescent="0.3">
      <c r="F98" s="19"/>
      <c r="G98" s="21"/>
      <c r="H98" s="21"/>
      <c r="I98" s="21"/>
      <c r="J98" s="19"/>
      <c r="K98" s="21"/>
      <c r="L98" s="19"/>
      <c r="M98" s="21"/>
      <c r="N98" s="21"/>
      <c r="O98" s="21"/>
    </row>
    <row r="99" spans="6:15" x14ac:dyDescent="0.3">
      <c r="F99" s="19"/>
      <c r="G99" s="21"/>
      <c r="H99" s="21"/>
      <c r="I99" s="21"/>
      <c r="J99" s="19"/>
      <c r="K99" s="21"/>
      <c r="L99" s="19"/>
      <c r="M99" s="21"/>
      <c r="N99" s="21"/>
      <c r="O99" s="21"/>
    </row>
    <row r="100" spans="6:15" x14ac:dyDescent="0.3">
      <c r="F100" s="19"/>
      <c r="G100" s="21"/>
      <c r="H100" s="21"/>
      <c r="I100" s="21"/>
      <c r="J100" s="19"/>
      <c r="K100" s="21"/>
      <c r="L100" s="19"/>
      <c r="M100" s="21"/>
      <c r="N100" s="21"/>
      <c r="O100" s="21"/>
    </row>
    <row r="101" spans="6:15" x14ac:dyDescent="0.3">
      <c r="F101" s="19"/>
      <c r="G101" s="21"/>
      <c r="H101" s="21"/>
      <c r="I101" s="21"/>
      <c r="J101" s="19"/>
      <c r="K101" s="21"/>
      <c r="L101" s="19"/>
      <c r="M101" s="21"/>
      <c r="N101" s="21"/>
      <c r="O101" s="21"/>
    </row>
    <row r="102" spans="6:15" x14ac:dyDescent="0.3">
      <c r="F102" s="19"/>
      <c r="G102" s="21"/>
      <c r="H102" s="21"/>
      <c r="I102" s="21"/>
      <c r="J102" s="19"/>
      <c r="K102" s="21"/>
      <c r="L102" s="19"/>
      <c r="M102" s="21"/>
      <c r="N102" s="21"/>
      <c r="O102" s="21"/>
    </row>
    <row r="103" spans="6:15" x14ac:dyDescent="0.3">
      <c r="F103" s="19"/>
      <c r="G103" s="21"/>
      <c r="H103" s="21"/>
      <c r="I103" s="21"/>
      <c r="J103" s="19"/>
      <c r="K103" s="21"/>
      <c r="L103" s="19"/>
      <c r="M103" s="21"/>
      <c r="N103" s="21"/>
      <c r="O103" s="21"/>
    </row>
    <row r="104" spans="6:15" x14ac:dyDescent="0.3">
      <c r="F104" s="19"/>
      <c r="G104" s="21"/>
      <c r="H104" s="21"/>
      <c r="I104" s="21"/>
      <c r="J104" s="19"/>
      <c r="K104" s="21"/>
      <c r="L104" s="19"/>
      <c r="M104" s="21"/>
      <c r="N104" s="21"/>
      <c r="O104" s="21"/>
    </row>
    <row r="105" spans="6:15" x14ac:dyDescent="0.3">
      <c r="F105" s="19"/>
      <c r="G105" s="21"/>
      <c r="H105" s="21"/>
      <c r="I105" s="21"/>
      <c r="J105" s="19"/>
      <c r="K105" s="21"/>
      <c r="L105" s="19"/>
      <c r="M105" s="21"/>
      <c r="N105" s="21"/>
      <c r="O105" s="21"/>
    </row>
    <row r="106" spans="6:15" x14ac:dyDescent="0.3">
      <c r="F106" s="19"/>
      <c r="G106" s="21"/>
      <c r="H106" s="21"/>
      <c r="I106" s="21"/>
      <c r="J106" s="19"/>
      <c r="K106" s="21"/>
      <c r="L106" s="19"/>
      <c r="M106" s="21"/>
      <c r="N106" s="21"/>
      <c r="O106" s="21"/>
    </row>
    <row r="107" spans="6:15" x14ac:dyDescent="0.3">
      <c r="F107" s="19"/>
      <c r="G107" s="21"/>
      <c r="H107" s="21"/>
      <c r="I107" s="21"/>
      <c r="J107" s="19"/>
      <c r="K107" s="21"/>
      <c r="L107" s="19"/>
      <c r="M107" s="21"/>
      <c r="N107" s="21"/>
      <c r="O107" s="21"/>
    </row>
    <row r="108" spans="6:15" x14ac:dyDescent="0.3">
      <c r="F108" s="19"/>
      <c r="G108" s="21"/>
      <c r="H108" s="21"/>
      <c r="I108" s="21"/>
      <c r="J108" s="19"/>
      <c r="K108" s="21"/>
      <c r="L108" s="19"/>
      <c r="M108" s="21"/>
      <c r="N108" s="21"/>
      <c r="O108" s="21"/>
    </row>
    <row r="109" spans="6:15" x14ac:dyDescent="0.3">
      <c r="F109" s="19"/>
      <c r="G109" s="21"/>
      <c r="H109" s="21"/>
      <c r="I109" s="21"/>
      <c r="J109" s="19"/>
      <c r="K109" s="21"/>
      <c r="L109" s="19"/>
      <c r="M109" s="21"/>
      <c r="N109" s="21"/>
      <c r="O109" s="21"/>
    </row>
    <row r="110" spans="6:15" x14ac:dyDescent="0.3">
      <c r="F110" s="19"/>
      <c r="G110" s="21"/>
      <c r="H110" s="21"/>
      <c r="I110" s="21"/>
      <c r="J110" s="19"/>
      <c r="K110" s="21"/>
      <c r="L110" s="19"/>
      <c r="M110" s="21"/>
      <c r="N110" s="21"/>
      <c r="O110" s="21"/>
    </row>
    <row r="111" spans="6:15" x14ac:dyDescent="0.3">
      <c r="F111" s="19"/>
      <c r="G111" s="21"/>
      <c r="H111" s="21"/>
      <c r="I111" s="21"/>
      <c r="J111" s="19"/>
      <c r="K111" s="21"/>
      <c r="L111" s="19"/>
      <c r="M111" s="21"/>
      <c r="N111" s="21"/>
      <c r="O111" s="21"/>
    </row>
    <row r="112" spans="6:15" x14ac:dyDescent="0.3">
      <c r="F112" s="19"/>
      <c r="G112" s="21"/>
      <c r="H112" s="21"/>
      <c r="I112" s="21"/>
      <c r="J112" s="19"/>
      <c r="K112" s="21"/>
      <c r="L112" s="19"/>
      <c r="M112" s="21"/>
      <c r="N112" s="21"/>
      <c r="O112" s="21"/>
    </row>
    <row r="113" spans="6:15" x14ac:dyDescent="0.3">
      <c r="F113" s="19"/>
      <c r="G113" s="21"/>
      <c r="H113" s="21"/>
      <c r="I113" s="21"/>
      <c r="J113" s="19"/>
      <c r="K113" s="21"/>
      <c r="L113" s="19"/>
      <c r="M113" s="21"/>
      <c r="N113" s="21"/>
      <c r="O113" s="21"/>
    </row>
    <row r="114" spans="6:15" x14ac:dyDescent="0.3">
      <c r="F114" s="19"/>
      <c r="G114" s="21"/>
      <c r="H114" s="21"/>
      <c r="I114" s="21"/>
      <c r="J114" s="19"/>
      <c r="K114" s="21"/>
      <c r="L114" s="19"/>
      <c r="M114" s="21"/>
      <c r="N114" s="21"/>
      <c r="O114" s="21"/>
    </row>
    <row r="115" spans="6:15" x14ac:dyDescent="0.3">
      <c r="F115" s="19"/>
      <c r="G115" s="21"/>
      <c r="H115" s="21"/>
      <c r="I115" s="21"/>
      <c r="J115" s="19"/>
      <c r="K115" s="21"/>
      <c r="L115" s="19"/>
      <c r="M115" s="21"/>
      <c r="N115" s="21"/>
      <c r="O115" s="21"/>
    </row>
    <row r="116" spans="6:15" x14ac:dyDescent="0.3">
      <c r="F116" s="19"/>
      <c r="G116" s="21"/>
      <c r="H116" s="21"/>
      <c r="I116" s="21"/>
      <c r="J116" s="19"/>
      <c r="K116" s="21"/>
      <c r="L116" s="19"/>
      <c r="M116" s="21"/>
      <c r="N116" s="21"/>
      <c r="O116" s="21"/>
    </row>
    <row r="117" spans="6:15" x14ac:dyDescent="0.3">
      <c r="F117" s="19"/>
      <c r="G117" s="21"/>
      <c r="H117" s="21"/>
      <c r="I117" s="21"/>
      <c r="J117" s="19"/>
      <c r="K117" s="21"/>
      <c r="L117" s="19"/>
      <c r="M117" s="21"/>
      <c r="N117" s="21"/>
      <c r="O117" s="21"/>
    </row>
    <row r="118" spans="6:15" x14ac:dyDescent="0.3">
      <c r="F118" s="19"/>
      <c r="G118" s="21"/>
      <c r="H118" s="21"/>
      <c r="I118" s="21"/>
      <c r="J118" s="19"/>
      <c r="K118" s="21"/>
      <c r="L118" s="19"/>
      <c r="M118" s="21"/>
      <c r="N118" s="21"/>
      <c r="O118" s="21"/>
    </row>
    <row r="119" spans="6:15" x14ac:dyDescent="0.3">
      <c r="F119" s="19"/>
      <c r="G119" s="21"/>
      <c r="H119" s="21"/>
      <c r="I119" s="21"/>
      <c r="J119" s="19"/>
      <c r="K119" s="21"/>
      <c r="L119" s="19"/>
      <c r="M119" s="21"/>
      <c r="N119" s="21"/>
      <c r="O119" s="21"/>
    </row>
    <row r="120" spans="6:15" x14ac:dyDescent="0.3">
      <c r="F120" s="19"/>
      <c r="G120" s="21"/>
      <c r="H120" s="21"/>
      <c r="I120" s="21"/>
      <c r="J120" s="19"/>
      <c r="K120" s="21"/>
      <c r="L120" s="19"/>
      <c r="M120" s="21"/>
      <c r="N120" s="21"/>
      <c r="O120" s="21"/>
    </row>
    <row r="121" spans="6:15" x14ac:dyDescent="0.3">
      <c r="F121" s="19"/>
      <c r="G121" s="21"/>
      <c r="H121" s="21"/>
      <c r="I121" s="21"/>
      <c r="J121" s="19"/>
      <c r="K121" s="21"/>
      <c r="L121" s="19"/>
      <c r="M121" s="21"/>
      <c r="N121" s="21"/>
      <c r="O121" s="21"/>
    </row>
    <row r="122" spans="6:15" x14ac:dyDescent="0.3">
      <c r="F122" s="19"/>
      <c r="G122" s="21"/>
      <c r="H122" s="21"/>
      <c r="I122" s="21"/>
      <c r="J122" s="19"/>
      <c r="K122" s="21"/>
      <c r="L122" s="19"/>
      <c r="M122" s="21"/>
      <c r="N122" s="21"/>
      <c r="O122" s="21"/>
    </row>
    <row r="123" spans="6:15" x14ac:dyDescent="0.3">
      <c r="F123" s="19"/>
      <c r="G123" s="21"/>
      <c r="H123" s="21"/>
      <c r="I123" s="21"/>
      <c r="J123" s="19"/>
      <c r="K123" s="21"/>
      <c r="L123" s="19"/>
      <c r="M123" s="21"/>
      <c r="N123" s="21"/>
      <c r="O123" s="21"/>
    </row>
    <row r="124" spans="6:15" x14ac:dyDescent="0.3">
      <c r="F124" s="19"/>
      <c r="G124" s="21"/>
      <c r="H124" s="21"/>
      <c r="I124" s="21"/>
      <c r="J124" s="19"/>
      <c r="K124" s="21"/>
      <c r="L124" s="19"/>
      <c r="M124" s="21"/>
      <c r="N124" s="21"/>
      <c r="O124" s="21"/>
    </row>
    <row r="125" spans="6:15" x14ac:dyDescent="0.3">
      <c r="F125" s="19"/>
      <c r="G125" s="21"/>
      <c r="H125" s="21"/>
      <c r="I125" s="21"/>
      <c r="J125" s="19"/>
      <c r="K125" s="21"/>
      <c r="L125" s="19"/>
      <c r="M125" s="21"/>
      <c r="N125" s="21"/>
      <c r="O125" s="21"/>
    </row>
    <row r="126" spans="6:15" x14ac:dyDescent="0.3">
      <c r="F126" s="19"/>
      <c r="G126" s="21"/>
      <c r="H126" s="21"/>
      <c r="I126" s="21"/>
      <c r="J126" s="19"/>
      <c r="K126" s="21"/>
      <c r="L126" s="19"/>
      <c r="M126" s="21"/>
      <c r="N126" s="21"/>
      <c r="O126" s="21"/>
    </row>
    <row r="127" spans="6:15" x14ac:dyDescent="0.3">
      <c r="F127" s="19"/>
      <c r="G127" s="21"/>
      <c r="H127" s="21"/>
      <c r="I127" s="21"/>
      <c r="J127" s="19"/>
      <c r="K127" s="21"/>
      <c r="L127" s="19"/>
      <c r="M127" s="21"/>
      <c r="N127" s="21"/>
      <c r="O127" s="21"/>
    </row>
    <row r="128" spans="6:15" x14ac:dyDescent="0.3">
      <c r="F128" s="19"/>
      <c r="G128" s="21"/>
      <c r="H128" s="21"/>
      <c r="I128" s="21"/>
      <c r="J128" s="19"/>
      <c r="K128" s="21"/>
      <c r="L128" s="19"/>
      <c r="M128" s="21"/>
      <c r="N128" s="21"/>
      <c r="O128" s="21"/>
    </row>
    <row r="129" spans="6:15" x14ac:dyDescent="0.3">
      <c r="F129" s="19"/>
      <c r="G129" s="21"/>
      <c r="H129" s="21"/>
      <c r="I129" s="21"/>
      <c r="J129" s="19"/>
      <c r="K129" s="21"/>
      <c r="L129" s="19"/>
      <c r="M129" s="21"/>
      <c r="N129" s="21"/>
      <c r="O129" s="21"/>
    </row>
    <row r="130" spans="6:15" x14ac:dyDescent="0.3">
      <c r="F130" s="19"/>
      <c r="G130" s="21"/>
      <c r="H130" s="21"/>
      <c r="I130" s="21"/>
      <c r="J130" s="19"/>
      <c r="K130" s="21"/>
      <c r="L130" s="19"/>
      <c r="M130" s="21"/>
      <c r="N130" s="21"/>
      <c r="O130" s="21"/>
    </row>
    <row r="131" spans="6:15" x14ac:dyDescent="0.3">
      <c r="F131" s="19"/>
      <c r="G131" s="21"/>
      <c r="H131" s="21"/>
      <c r="I131" s="21"/>
      <c r="J131" s="19"/>
      <c r="K131" s="21"/>
      <c r="L131" s="19"/>
      <c r="M131" s="21"/>
      <c r="N131" s="21"/>
      <c r="O131" s="21"/>
    </row>
    <row r="132" spans="6:15" x14ac:dyDescent="0.3">
      <c r="F132" s="19"/>
      <c r="G132" s="21"/>
      <c r="H132" s="21"/>
      <c r="I132" s="21"/>
      <c r="J132" s="19"/>
      <c r="K132" s="21"/>
      <c r="L132" s="19"/>
      <c r="M132" s="21"/>
      <c r="N132" s="21"/>
      <c r="O132" s="21"/>
    </row>
    <row r="133" spans="6:15" x14ac:dyDescent="0.3">
      <c r="F133" s="19"/>
      <c r="G133" s="21"/>
      <c r="H133" s="21"/>
      <c r="I133" s="21"/>
      <c r="J133" s="19"/>
      <c r="K133" s="21"/>
      <c r="L133" s="19"/>
      <c r="M133" s="21"/>
      <c r="N133" s="21"/>
      <c r="O133" s="21"/>
    </row>
    <row r="134" spans="6:15" x14ac:dyDescent="0.3">
      <c r="F134" s="19"/>
      <c r="G134" s="21"/>
      <c r="H134" s="21"/>
      <c r="I134" s="21"/>
      <c r="J134" s="19"/>
      <c r="K134" s="21"/>
      <c r="L134" s="19"/>
      <c r="M134" s="21"/>
      <c r="N134" s="21"/>
      <c r="O134" s="21"/>
    </row>
    <row r="135" spans="6:15" x14ac:dyDescent="0.3">
      <c r="F135" s="19"/>
      <c r="G135" s="21"/>
      <c r="H135" s="21"/>
      <c r="I135" s="21"/>
      <c r="J135" s="19"/>
      <c r="K135" s="21"/>
      <c r="L135" s="19"/>
      <c r="M135" s="21"/>
      <c r="N135" s="21"/>
      <c r="O135" s="21"/>
    </row>
    <row r="136" spans="6:15" x14ac:dyDescent="0.3">
      <c r="F136" s="19"/>
      <c r="G136" s="21"/>
      <c r="H136" s="21"/>
      <c r="I136" s="21"/>
      <c r="J136" s="19"/>
      <c r="K136" s="21"/>
      <c r="L136" s="19"/>
      <c r="M136" s="21"/>
      <c r="N136" s="21"/>
      <c r="O136" s="21"/>
    </row>
    <row r="137" spans="6:15" x14ac:dyDescent="0.3">
      <c r="F137" s="19"/>
      <c r="G137" s="21"/>
      <c r="H137" s="21"/>
      <c r="I137" s="21"/>
      <c r="J137" s="19"/>
      <c r="K137" s="21"/>
      <c r="L137" s="19"/>
      <c r="M137" s="21"/>
      <c r="N137" s="21"/>
      <c r="O137" s="21"/>
    </row>
    <row r="138" spans="6:15" x14ac:dyDescent="0.3">
      <c r="F138" s="19"/>
      <c r="G138" s="21"/>
      <c r="H138" s="21"/>
      <c r="I138" s="21"/>
      <c r="J138" s="19"/>
      <c r="K138" s="21"/>
      <c r="L138" s="19"/>
      <c r="M138" s="21"/>
      <c r="N138" s="21"/>
      <c r="O138" s="21"/>
    </row>
    <row r="139" spans="6:15" x14ac:dyDescent="0.3">
      <c r="F139" s="19"/>
      <c r="G139" s="21"/>
      <c r="H139" s="21"/>
      <c r="I139" s="21"/>
      <c r="J139" s="19"/>
      <c r="K139" s="21"/>
      <c r="L139" s="19"/>
      <c r="M139" s="21"/>
      <c r="N139" s="21"/>
      <c r="O139" s="21"/>
    </row>
    <row r="140" spans="6:15" x14ac:dyDescent="0.3">
      <c r="F140" s="19"/>
      <c r="G140" s="21"/>
      <c r="H140" s="21"/>
      <c r="I140" s="21"/>
      <c r="J140" s="19"/>
      <c r="K140" s="21"/>
      <c r="L140" s="19"/>
      <c r="M140" s="21"/>
      <c r="N140" s="21"/>
      <c r="O140" s="21"/>
    </row>
    <row r="141" spans="6:15" x14ac:dyDescent="0.3">
      <c r="F141" s="19"/>
      <c r="G141" s="21"/>
      <c r="H141" s="21"/>
      <c r="I141" s="21"/>
      <c r="J141" s="19"/>
      <c r="K141" s="21"/>
      <c r="L141" s="19"/>
      <c r="M141" s="21"/>
      <c r="N141" s="21"/>
      <c r="O141" s="21"/>
    </row>
    <row r="142" spans="6:15" x14ac:dyDescent="0.3">
      <c r="F142" s="19"/>
      <c r="G142" s="21"/>
      <c r="H142" s="21"/>
      <c r="I142" s="21"/>
      <c r="J142" s="19"/>
      <c r="K142" s="21"/>
      <c r="L142" s="19"/>
      <c r="M142" s="21"/>
      <c r="N142" s="21"/>
      <c r="O142" s="21"/>
    </row>
    <row r="143" spans="6:15" x14ac:dyDescent="0.3">
      <c r="F143" s="19"/>
      <c r="G143" s="21"/>
      <c r="H143" s="21"/>
      <c r="I143" s="21"/>
      <c r="J143" s="19"/>
      <c r="K143" s="21"/>
      <c r="L143" s="19"/>
      <c r="M143" s="21"/>
      <c r="N143" s="21"/>
      <c r="O143" s="21"/>
    </row>
    <row r="144" spans="6:15" x14ac:dyDescent="0.3">
      <c r="F144" s="19"/>
      <c r="G144" s="21"/>
      <c r="H144" s="21"/>
      <c r="I144" s="21"/>
      <c r="J144" s="19"/>
      <c r="K144" s="21"/>
      <c r="L144" s="19"/>
      <c r="M144" s="21"/>
      <c r="N144" s="21"/>
      <c r="O144" s="21"/>
    </row>
    <row r="145" spans="6:15" x14ac:dyDescent="0.3">
      <c r="F145" s="19"/>
      <c r="G145" s="21"/>
      <c r="H145" s="21"/>
      <c r="I145" s="21"/>
      <c r="J145" s="19"/>
      <c r="K145" s="21"/>
      <c r="L145" s="19"/>
      <c r="M145" s="21"/>
      <c r="N145" s="21"/>
      <c r="O145" s="21"/>
    </row>
    <row r="146" spans="6:15" x14ac:dyDescent="0.3">
      <c r="F146" s="19"/>
      <c r="G146" s="21"/>
      <c r="H146" s="21"/>
      <c r="I146" s="21"/>
      <c r="J146" s="19"/>
      <c r="K146" s="21"/>
      <c r="L146" s="19"/>
      <c r="M146" s="21"/>
      <c r="N146" s="21"/>
      <c r="O146" s="21"/>
    </row>
    <row r="147" spans="6:15" x14ac:dyDescent="0.3">
      <c r="F147" s="19"/>
      <c r="G147" s="21"/>
      <c r="H147" s="21"/>
      <c r="I147" s="21"/>
      <c r="J147" s="19"/>
      <c r="K147" s="21"/>
      <c r="L147" s="19"/>
      <c r="M147" s="21"/>
      <c r="N147" s="21"/>
      <c r="O147" s="21"/>
    </row>
  </sheetData>
  <mergeCells count="4">
    <mergeCell ref="B24:B25"/>
    <mergeCell ref="C24:C25"/>
    <mergeCell ref="D24:D25"/>
    <mergeCell ref="D10:E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7E1FB-4530-42F8-966E-0C93BA5A4080}">
  <dimension ref="A1:U74"/>
  <sheetViews>
    <sheetView topLeftCell="A28" workbookViewId="0">
      <selection activeCell="B74" sqref="B74"/>
    </sheetView>
  </sheetViews>
  <sheetFormatPr defaultRowHeight="15" x14ac:dyDescent="0.25"/>
  <cols>
    <col min="1" max="1" width="22.42578125" customWidth="1"/>
    <col min="2" max="2" width="19.28515625" style="53" customWidth="1"/>
    <col min="3" max="3" width="22.5703125" customWidth="1"/>
    <col min="4" max="4" width="18.5703125" customWidth="1"/>
    <col min="5" max="5" width="16.140625" customWidth="1"/>
    <col min="6" max="6" width="17.140625" customWidth="1"/>
    <col min="7" max="7" width="18" customWidth="1"/>
    <col min="8" max="8" width="17.140625" customWidth="1"/>
    <col min="9" max="9" width="13.42578125" customWidth="1"/>
    <col min="10" max="10" width="12.7109375" customWidth="1"/>
    <col min="11" max="11" width="19.85546875" customWidth="1"/>
  </cols>
  <sheetData>
    <row r="1" spans="1:12" ht="26.25" x14ac:dyDescent="0.4">
      <c r="A1" s="133" t="s">
        <v>6</v>
      </c>
      <c r="B1" s="134"/>
      <c r="C1" s="135"/>
    </row>
    <row r="2" spans="1:12" ht="16.5" x14ac:dyDescent="0.3">
      <c r="A2" s="136" t="s">
        <v>7</v>
      </c>
      <c r="B2" s="137"/>
      <c r="C2" s="42">
        <v>2001</v>
      </c>
      <c r="F2" s="1"/>
    </row>
    <row r="3" spans="1:12" x14ac:dyDescent="0.25">
      <c r="A3" s="43"/>
      <c r="B3" s="87"/>
      <c r="C3" s="43"/>
      <c r="L3" s="44"/>
    </row>
    <row r="4" spans="1:12" x14ac:dyDescent="0.25">
      <c r="A4" s="43" t="s">
        <v>8</v>
      </c>
      <c r="B4" s="87"/>
      <c r="C4" s="43">
        <v>2001</v>
      </c>
      <c r="G4" s="138" t="s">
        <v>9</v>
      </c>
      <c r="H4" s="139"/>
      <c r="K4" s="140"/>
      <c r="L4" s="140"/>
    </row>
    <row r="5" spans="1:12" x14ac:dyDescent="0.25">
      <c r="A5" s="43" t="s">
        <v>10</v>
      </c>
      <c r="B5" s="87"/>
      <c r="C5" s="43">
        <v>1978</v>
      </c>
      <c r="D5" t="s">
        <v>11</v>
      </c>
      <c r="G5" s="45" t="s">
        <v>12</v>
      </c>
      <c r="H5" s="46">
        <v>46</v>
      </c>
      <c r="J5" s="47"/>
    </row>
    <row r="6" spans="1:12" x14ac:dyDescent="0.25">
      <c r="A6" s="43" t="s">
        <v>13</v>
      </c>
      <c r="B6" s="52"/>
      <c r="C6" s="43">
        <f>C4-C5</f>
        <v>23</v>
      </c>
      <c r="D6">
        <f>70-C6</f>
        <v>47</v>
      </c>
      <c r="G6" s="45" t="s">
        <v>14</v>
      </c>
      <c r="H6" s="49">
        <v>4</v>
      </c>
    </row>
    <row r="7" spans="1:12" x14ac:dyDescent="0.25">
      <c r="A7" s="141" t="s">
        <v>15</v>
      </c>
      <c r="B7" s="52" t="s">
        <v>16</v>
      </c>
      <c r="C7" s="48" t="s">
        <v>17</v>
      </c>
      <c r="G7" s="45" t="s">
        <v>0</v>
      </c>
      <c r="H7" s="50">
        <v>46750</v>
      </c>
      <c r="I7" s="51"/>
    </row>
    <row r="8" spans="1:12" ht="15.75" customHeight="1" x14ac:dyDescent="0.25">
      <c r="A8" s="142"/>
      <c r="B8" s="52"/>
      <c r="C8" s="52">
        <v>308.89999999999998</v>
      </c>
      <c r="F8" s="53"/>
      <c r="G8" s="54" t="s">
        <v>18</v>
      </c>
      <c r="H8" s="55">
        <f>ROUND(H7*1.25,)</f>
        <v>58438</v>
      </c>
      <c r="I8" s="51"/>
    </row>
    <row r="9" spans="1:12" ht="33.75" customHeight="1" x14ac:dyDescent="0.25">
      <c r="A9" s="56"/>
      <c r="B9" s="52"/>
      <c r="C9" s="48"/>
      <c r="G9" s="57" t="s">
        <v>19</v>
      </c>
      <c r="H9" s="51"/>
      <c r="K9" s="53"/>
    </row>
    <row r="10" spans="1:12" x14ac:dyDescent="0.25">
      <c r="A10" s="58" t="s">
        <v>20</v>
      </c>
      <c r="B10" s="60"/>
      <c r="C10" s="60">
        <v>5500</v>
      </c>
      <c r="D10" t="s">
        <v>21</v>
      </c>
      <c r="I10" s="51"/>
    </row>
    <row r="11" spans="1:12" x14ac:dyDescent="0.25">
      <c r="A11" s="58"/>
      <c r="B11" s="60"/>
      <c r="C11" s="59"/>
      <c r="D11" t="s">
        <v>22</v>
      </c>
    </row>
    <row r="12" spans="1:12" x14ac:dyDescent="0.25">
      <c r="A12" s="59" t="s">
        <v>23</v>
      </c>
      <c r="B12" s="60"/>
      <c r="C12" s="60">
        <f>ROUND(C8*C10,0)</f>
        <v>1698950</v>
      </c>
      <c r="D12" s="51" t="s">
        <v>24</v>
      </c>
      <c r="I12" s="61"/>
      <c r="J12" s="61"/>
      <c r="K12" s="61"/>
    </row>
    <row r="13" spans="1:12" x14ac:dyDescent="0.25">
      <c r="A13" s="59"/>
      <c r="B13" s="60"/>
      <c r="C13" s="60"/>
      <c r="D13" t="s">
        <v>25</v>
      </c>
      <c r="F13" s="62"/>
      <c r="G13" s="62"/>
      <c r="H13" s="62"/>
      <c r="I13" s="61"/>
      <c r="J13" s="61"/>
      <c r="K13" s="61"/>
    </row>
    <row r="14" spans="1:12" x14ac:dyDescent="0.25">
      <c r="A14" s="59" t="s">
        <v>26</v>
      </c>
      <c r="B14" s="60"/>
      <c r="C14" s="59">
        <f>100-10</f>
        <v>90</v>
      </c>
      <c r="F14" s="62"/>
      <c r="G14" s="62"/>
      <c r="H14" s="63"/>
      <c r="I14" s="61"/>
      <c r="J14" s="61"/>
      <c r="K14" s="61"/>
    </row>
    <row r="15" spans="1:12" x14ac:dyDescent="0.25">
      <c r="A15" s="64" t="s">
        <v>27</v>
      </c>
      <c r="B15" s="60"/>
      <c r="C15" s="65">
        <f>C14*C6/70</f>
        <v>29.571428571428573</v>
      </c>
      <c r="F15" s="62"/>
      <c r="G15" s="62"/>
      <c r="H15" s="63"/>
      <c r="I15" s="61"/>
      <c r="J15" s="61"/>
      <c r="K15" s="61"/>
    </row>
    <row r="16" spans="1:12" x14ac:dyDescent="0.25">
      <c r="A16" s="59"/>
      <c r="B16" s="60"/>
      <c r="C16" s="66">
        <v>0.29570000000000002</v>
      </c>
      <c r="G16" s="62"/>
      <c r="H16" s="67"/>
      <c r="I16" s="132"/>
      <c r="J16" s="132"/>
      <c r="K16" s="132"/>
    </row>
    <row r="17" spans="1:11" x14ac:dyDescent="0.25">
      <c r="A17" s="43" t="s">
        <v>28</v>
      </c>
      <c r="B17" s="87"/>
      <c r="C17" s="68">
        <f>ROUND(C12*C16,0)</f>
        <v>502380</v>
      </c>
      <c r="D17" s="51"/>
      <c r="E17" s="51"/>
    </row>
    <row r="18" spans="1:11" x14ac:dyDescent="0.25">
      <c r="A18" s="69" t="s">
        <v>29</v>
      </c>
      <c r="B18" s="88"/>
      <c r="C18" s="69"/>
      <c r="E18" s="53"/>
    </row>
    <row r="19" spans="1:11" x14ac:dyDescent="0.25">
      <c r="A19" s="70" t="s">
        <v>30</v>
      </c>
      <c r="B19" s="71"/>
      <c r="C19" s="71">
        <f>H8</f>
        <v>58438</v>
      </c>
    </row>
    <row r="20" spans="1:11" x14ac:dyDescent="0.25">
      <c r="A20" s="72"/>
      <c r="B20" s="89"/>
      <c r="C20" s="72"/>
    </row>
    <row r="21" spans="1:11" x14ac:dyDescent="0.25">
      <c r="A21" s="73" t="s">
        <v>31</v>
      </c>
      <c r="B21" s="90"/>
      <c r="C21" s="74">
        <f>ROUND(C19*C8,0)</f>
        <v>18051498</v>
      </c>
    </row>
    <row r="22" spans="1:11" x14ac:dyDescent="0.25">
      <c r="A22" s="75"/>
      <c r="B22" s="91"/>
      <c r="C22" s="76"/>
      <c r="E22" t="s">
        <v>32</v>
      </c>
      <c r="F22" t="s">
        <v>33</v>
      </c>
    </row>
    <row r="23" spans="1:11" x14ac:dyDescent="0.25">
      <c r="A23" s="77" t="s">
        <v>34</v>
      </c>
      <c r="B23" s="92"/>
      <c r="C23" s="78">
        <f>C21-C17</f>
        <v>17549118</v>
      </c>
      <c r="E23" s="51">
        <f>C23</f>
        <v>17549118</v>
      </c>
      <c r="F23" s="51">
        <f>C23</f>
        <v>17549118</v>
      </c>
      <c r="G23" s="53"/>
    </row>
    <row r="24" spans="1:11" x14ac:dyDescent="0.25">
      <c r="A24" s="75"/>
      <c r="B24" s="91"/>
      <c r="C24" s="75"/>
      <c r="D24" t="s">
        <v>35</v>
      </c>
      <c r="E24" s="51">
        <v>1000000</v>
      </c>
      <c r="F24" s="79">
        <f>ROUND(F23*1%,0)</f>
        <v>175491</v>
      </c>
      <c r="G24" s="51"/>
    </row>
    <row r="25" spans="1:11" x14ac:dyDescent="0.25">
      <c r="A25" s="59" t="s">
        <v>36</v>
      </c>
      <c r="B25" s="60"/>
      <c r="C25" s="80">
        <f>E28</f>
        <v>1362670</v>
      </c>
      <c r="E25" s="51">
        <f>MROUND(E23-E24,500)</f>
        <v>16549000</v>
      </c>
      <c r="F25">
        <v>20000</v>
      </c>
      <c r="G25" t="s">
        <v>37</v>
      </c>
    </row>
    <row r="26" spans="1:11" x14ac:dyDescent="0.25">
      <c r="A26" s="59" t="s">
        <v>38</v>
      </c>
      <c r="B26" s="60"/>
      <c r="C26" s="80">
        <f>F25</f>
        <v>20000</v>
      </c>
      <c r="D26" t="s">
        <v>39</v>
      </c>
      <c r="E26" s="51">
        <f>E25*8%</f>
        <v>1323920</v>
      </c>
      <c r="G26" s="53"/>
      <c r="K26" s="53"/>
    </row>
    <row r="27" spans="1:11" x14ac:dyDescent="0.25">
      <c r="A27" s="59"/>
      <c r="B27" s="60"/>
      <c r="C27" s="59"/>
      <c r="E27" s="53">
        <v>38750</v>
      </c>
      <c r="J27" s="81"/>
      <c r="K27" s="81"/>
    </row>
    <row r="28" spans="1:11" x14ac:dyDescent="0.25">
      <c r="A28" s="82" t="s">
        <v>40</v>
      </c>
      <c r="B28" s="93"/>
      <c r="C28" s="83">
        <f>ROUND(C26+C25+C23,0)</f>
        <v>18931788</v>
      </c>
      <c r="E28" s="84">
        <f>E26+E27</f>
        <v>1362670</v>
      </c>
      <c r="J28" s="81"/>
    </row>
    <row r="29" spans="1:11" x14ac:dyDescent="0.25">
      <c r="A29" s="85" t="s">
        <v>41</v>
      </c>
      <c r="B29" s="60"/>
      <c r="C29" s="60">
        <v>100</v>
      </c>
      <c r="E29" s="51"/>
      <c r="J29" s="81"/>
    </row>
    <row r="30" spans="1:11" x14ac:dyDescent="0.25">
      <c r="A30" s="59" t="s">
        <v>42</v>
      </c>
      <c r="B30" s="60"/>
      <c r="C30" s="60">
        <v>363</v>
      </c>
      <c r="J30" s="53"/>
    </row>
    <row r="31" spans="1:11" x14ac:dyDescent="0.25">
      <c r="A31" s="59"/>
      <c r="B31" s="60"/>
      <c r="C31" s="60"/>
      <c r="J31" s="81"/>
    </row>
    <row r="32" spans="1:11" x14ac:dyDescent="0.25">
      <c r="A32" s="59" t="s">
        <v>4</v>
      </c>
      <c r="B32" s="60"/>
      <c r="C32" s="60">
        <f>C28*C30/C29</f>
        <v>68722390.439999998</v>
      </c>
      <c r="E32" s="51"/>
      <c r="J32" s="51"/>
    </row>
    <row r="33" spans="1:21" x14ac:dyDescent="0.25">
      <c r="A33" s="82"/>
      <c r="B33" s="93"/>
      <c r="C33" s="83">
        <f>ROUND(C32,0)</f>
        <v>68722390</v>
      </c>
    </row>
    <row r="34" spans="1:21" x14ac:dyDescent="0.25">
      <c r="U34">
        <f>32.91+37.7</f>
        <v>70.61</v>
      </c>
    </row>
    <row r="35" spans="1:21" x14ac:dyDescent="0.25">
      <c r="E35" t="s">
        <v>32</v>
      </c>
      <c r="F35" t="s">
        <v>33</v>
      </c>
    </row>
    <row r="36" spans="1:21" x14ac:dyDescent="0.25">
      <c r="E36" s="51" t="e">
        <f>'Final calculation'!#REF!</f>
        <v>#REF!</v>
      </c>
      <c r="F36" s="51" t="e">
        <f>'Final calculation'!#REF!</f>
        <v>#REF!</v>
      </c>
      <c r="G36" s="53"/>
    </row>
    <row r="37" spans="1:21" x14ac:dyDescent="0.25">
      <c r="D37" t="s">
        <v>35</v>
      </c>
      <c r="E37" s="51">
        <v>1000000</v>
      </c>
      <c r="F37" s="79" t="e">
        <f>ROUND(F36*1%,0)</f>
        <v>#REF!</v>
      </c>
      <c r="G37" s="51"/>
    </row>
    <row r="38" spans="1:21" x14ac:dyDescent="0.25">
      <c r="A38" t="s">
        <v>43</v>
      </c>
      <c r="B38" s="53">
        <v>9600</v>
      </c>
      <c r="E38" s="51" t="e">
        <f>MROUND(E36-E37,500)</f>
        <v>#REF!</v>
      </c>
      <c r="F38">
        <v>20000</v>
      </c>
      <c r="G38" t="s">
        <v>37</v>
      </c>
    </row>
    <row r="39" spans="1:21" x14ac:dyDescent="0.25">
      <c r="A39" t="s">
        <v>44</v>
      </c>
      <c r="B39" s="53">
        <v>4485</v>
      </c>
      <c r="C39">
        <f>65*69</f>
        <v>4485</v>
      </c>
      <c r="D39" t="s">
        <v>39</v>
      </c>
      <c r="E39" s="51" t="e">
        <f>E38*8%</f>
        <v>#REF!</v>
      </c>
      <c r="G39" s="53"/>
    </row>
    <row r="40" spans="1:21" x14ac:dyDescent="0.25">
      <c r="A40" t="s">
        <v>45</v>
      </c>
      <c r="B40" s="53">
        <f>B38-B39</f>
        <v>5115</v>
      </c>
      <c r="E40" s="53">
        <v>38750</v>
      </c>
    </row>
    <row r="41" spans="1:21" x14ac:dyDescent="0.25">
      <c r="B41" s="53">
        <f>B40/10.764</f>
        <v>475.1950947603122</v>
      </c>
      <c r="E41" s="84" t="e">
        <f>E39+E40</f>
        <v>#REF!</v>
      </c>
    </row>
    <row r="43" spans="1:21" x14ac:dyDescent="0.25">
      <c r="D43">
        <v>48000000</v>
      </c>
      <c r="E43">
        <v>680</v>
      </c>
      <c r="F43">
        <f>D43/E43</f>
        <v>70588.23529411765</v>
      </c>
    </row>
    <row r="56" spans="1:7" x14ac:dyDescent="0.25">
      <c r="A56" t="s">
        <v>46</v>
      </c>
      <c r="B56" s="53">
        <v>475.3</v>
      </c>
      <c r="G56" s="53"/>
    </row>
    <row r="57" spans="1:7" x14ac:dyDescent="0.25">
      <c r="A57" t="s">
        <v>47</v>
      </c>
      <c r="B57" s="53">
        <v>2</v>
      </c>
      <c r="C57" t="s">
        <v>49</v>
      </c>
      <c r="G57" s="53"/>
    </row>
    <row r="58" spans="1:7" x14ac:dyDescent="0.25">
      <c r="A58" t="s">
        <v>48</v>
      </c>
      <c r="B58" s="53">
        <f>B57*B56</f>
        <v>950.6</v>
      </c>
      <c r="G58" s="53"/>
    </row>
    <row r="59" spans="1:7" x14ac:dyDescent="0.25">
      <c r="A59" t="s">
        <v>50</v>
      </c>
      <c r="B59" s="53">
        <v>345.72</v>
      </c>
      <c r="C59" t="s">
        <v>51</v>
      </c>
      <c r="G59" s="53"/>
    </row>
    <row r="60" spans="1:7" x14ac:dyDescent="0.25">
      <c r="A60" t="s">
        <v>52</v>
      </c>
      <c r="B60" s="53">
        <f>B58-B59</f>
        <v>604.88</v>
      </c>
      <c r="G60" s="53"/>
    </row>
    <row r="61" spans="1:7" x14ac:dyDescent="0.25">
      <c r="A61" t="s">
        <v>53</v>
      </c>
      <c r="B61" s="53">
        <v>29000</v>
      </c>
      <c r="G61" s="53"/>
    </row>
    <row r="62" spans="1:7" x14ac:dyDescent="0.25">
      <c r="A62" s="86" t="s">
        <v>54</v>
      </c>
      <c r="B62" s="84">
        <f>B61*B60</f>
        <v>17541520</v>
      </c>
      <c r="D62" s="86" t="s">
        <v>64</v>
      </c>
      <c r="G62" s="84"/>
    </row>
    <row r="63" spans="1:7" x14ac:dyDescent="0.25">
      <c r="A63" t="s">
        <v>55</v>
      </c>
      <c r="B63" s="53">
        <f>B59</f>
        <v>345.72</v>
      </c>
      <c r="G63" s="53"/>
    </row>
    <row r="64" spans="1:7" x14ac:dyDescent="0.25">
      <c r="A64" t="s">
        <v>56</v>
      </c>
      <c r="B64" s="53">
        <v>46750</v>
      </c>
      <c r="G64" s="53"/>
    </row>
    <row r="65" spans="1:7" x14ac:dyDescent="0.25">
      <c r="B65" s="53">
        <f>B64*29.57%</f>
        <v>13823.975</v>
      </c>
      <c r="G65" s="53"/>
    </row>
    <row r="66" spans="1:7" x14ac:dyDescent="0.25">
      <c r="A66" t="s">
        <v>57</v>
      </c>
      <c r="B66" s="53">
        <f>B64-B65</f>
        <v>32926.025000000001</v>
      </c>
      <c r="G66" s="53"/>
    </row>
    <row r="67" spans="1:7" x14ac:dyDescent="0.25">
      <c r="A67" s="86" t="s">
        <v>69</v>
      </c>
      <c r="B67" s="84">
        <f>B66*B63</f>
        <v>11383185.363000002</v>
      </c>
      <c r="D67" s="86" t="s">
        <v>65</v>
      </c>
      <c r="G67" s="53"/>
    </row>
    <row r="68" spans="1:7" x14ac:dyDescent="0.25">
      <c r="A68" t="s">
        <v>58</v>
      </c>
      <c r="B68" s="53">
        <v>153.29</v>
      </c>
      <c r="C68">
        <f>1650/10.764</f>
        <v>153.28874024526201</v>
      </c>
      <c r="G68" s="53"/>
    </row>
    <row r="69" spans="1:7" x14ac:dyDescent="0.25">
      <c r="A69" t="s">
        <v>59</v>
      </c>
      <c r="B69" s="53">
        <f>B66*25%</f>
        <v>8231.5062500000004</v>
      </c>
      <c r="G69" s="53"/>
    </row>
    <row r="70" spans="1:7" x14ac:dyDescent="0.25">
      <c r="A70" s="86" t="s">
        <v>60</v>
      </c>
      <c r="B70" s="84">
        <f>B69*B68</f>
        <v>1261807.5930625</v>
      </c>
      <c r="D70" s="86" t="s">
        <v>66</v>
      </c>
    </row>
    <row r="71" spans="1:7" x14ac:dyDescent="0.25">
      <c r="A71" t="s">
        <v>61</v>
      </c>
    </row>
    <row r="72" spans="1:7" x14ac:dyDescent="0.25">
      <c r="A72" s="86" t="s">
        <v>47</v>
      </c>
      <c r="B72" s="84">
        <f>B56*1*B61*0.3</f>
        <v>4135110</v>
      </c>
      <c r="D72" s="86" t="s">
        <v>67</v>
      </c>
    </row>
    <row r="73" spans="1:7" x14ac:dyDescent="0.25">
      <c r="A73" s="86" t="s">
        <v>62</v>
      </c>
      <c r="B73" s="84">
        <f>B56*0.5*B61*0.5</f>
        <v>3445925</v>
      </c>
      <c r="D73" s="86" t="s">
        <v>68</v>
      </c>
    </row>
    <row r="74" spans="1:7" x14ac:dyDescent="0.25">
      <c r="A74" s="86" t="s">
        <v>63</v>
      </c>
      <c r="B74" s="84">
        <f>B62+B67+B70-B72-B73</f>
        <v>22605477.956062503</v>
      </c>
      <c r="F74" s="86"/>
      <c r="G74" s="79"/>
    </row>
  </sheetData>
  <mergeCells count="6">
    <mergeCell ref="I16:K16"/>
    <mergeCell ref="A1:C1"/>
    <mergeCell ref="A2:B2"/>
    <mergeCell ref="G4:H4"/>
    <mergeCell ref="K4:L4"/>
    <mergeCell ref="A7:A8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calculation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manoj chalikwar</cp:lastModifiedBy>
  <dcterms:created xsi:type="dcterms:W3CDTF">2014-10-16T12:20:47Z</dcterms:created>
  <dcterms:modified xsi:type="dcterms:W3CDTF">2025-03-26T12:43:20Z</dcterms:modified>
</cp:coreProperties>
</file>