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 defaultThemeVersion="124226"/>
  <mc:AlternateContent xmlns:mc="http://schemas.openxmlformats.org/markup-compatibility/2006">
    <mc:Choice Requires="x15">
      <x15ac:absPath xmlns:x15ac="http://schemas.microsoft.com/office/spreadsheetml/2010/11/ac" url="D:\BINU SURENDRAN\LAND &amp; BUILDING - 2025\Manju Devi Gupta &amp; Murli Dhar Gupta\"/>
    </mc:Choice>
  </mc:AlternateContent>
  <xr:revisionPtr revIDLastSave="0" documentId="13_ncr:1_{56417BDE-A7FF-4C95-BFB3-46215577986A}" xr6:coauthVersionLast="45" xr6:coauthVersionMax="45" xr10:uidLastSave="{00000000-0000-0000-0000-000000000000}"/>
  <bookViews>
    <workbookView xWindow="-120" yWindow="-120" windowWidth="29040" windowHeight="15720" activeTab="1" xr2:uid="{00000000-000D-0000-FFFF-FFFF00000000}"/>
  </bookViews>
  <sheets>
    <sheet name="Valuation" sheetId="2" r:id="rId1"/>
    <sheet name="Old Valuation Report" sheetId="3" r:id="rId2"/>
    <sheet name="Sheet2" sheetId="4" r:id="rId3"/>
    <sheet name="Sheet3" sheetId="5" r:id="rId4"/>
    <sheet name="Sheet4" sheetId="6" r:id="rId5"/>
  </sheets>
  <calcPr calcId="191029"/>
</workbook>
</file>

<file path=xl/calcChain.xml><?xml version="1.0" encoding="utf-8"?>
<calcChain xmlns="http://schemas.openxmlformats.org/spreadsheetml/2006/main">
  <c r="H80" i="2" l="1"/>
  <c r="K133" i="2"/>
  <c r="K134" i="2" s="1"/>
  <c r="M126" i="2"/>
  <c r="L126" i="2"/>
  <c r="L125" i="2"/>
  <c r="L124" i="2"/>
  <c r="G19" i="3"/>
  <c r="G18" i="3"/>
  <c r="S27" i="4"/>
  <c r="F24" i="4"/>
  <c r="N23" i="4"/>
  <c r="O23" i="4" s="1"/>
  <c r="Q23" i="4" s="1"/>
  <c r="N22" i="4"/>
  <c r="O22" i="4" s="1"/>
  <c r="Q22" i="4" s="1"/>
  <c r="W18" i="4"/>
  <c r="X18" i="4" s="1"/>
  <c r="H18" i="4" s="1"/>
  <c r="N18" i="4"/>
  <c r="O18" i="4" s="1"/>
  <c r="P18" i="4" s="1"/>
  <c r="Q18" i="4" s="1"/>
  <c r="R18" i="4" s="1"/>
  <c r="K18" i="4"/>
  <c r="J18" i="4"/>
  <c r="F18" i="4"/>
  <c r="E18" i="4"/>
  <c r="B18" i="4"/>
  <c r="W17" i="4"/>
  <c r="X17" i="4" s="1"/>
  <c r="N17" i="4"/>
  <c r="O17" i="4" s="1"/>
  <c r="P17" i="4" s="1"/>
  <c r="Q17" i="4" s="1"/>
  <c r="R17" i="4" s="1"/>
  <c r="K17" i="4"/>
  <c r="J17" i="4"/>
  <c r="G17" i="4"/>
  <c r="F17" i="4"/>
  <c r="E17" i="4"/>
  <c r="B17" i="4"/>
  <c r="W16" i="4"/>
  <c r="X16" i="4" s="1"/>
  <c r="N16" i="4"/>
  <c r="O16" i="4" s="1"/>
  <c r="P16" i="4" s="1"/>
  <c r="Q16" i="4" s="1"/>
  <c r="R16" i="4" s="1"/>
  <c r="K16" i="4"/>
  <c r="J16" i="4"/>
  <c r="G16" i="4"/>
  <c r="F16" i="4"/>
  <c r="E16" i="4"/>
  <c r="B16" i="4"/>
  <c r="W15" i="4"/>
  <c r="X15" i="4" s="1"/>
  <c r="N15" i="4"/>
  <c r="O15" i="4" s="1"/>
  <c r="P15" i="4" s="1"/>
  <c r="Q15" i="4" s="1"/>
  <c r="R15" i="4" s="1"/>
  <c r="K15" i="4"/>
  <c r="J15" i="4"/>
  <c r="G15" i="4"/>
  <c r="F15" i="4"/>
  <c r="E15" i="4"/>
  <c r="B15" i="4"/>
  <c r="W14" i="4"/>
  <c r="X14" i="4" s="1"/>
  <c r="N14" i="4"/>
  <c r="O14" i="4" s="1"/>
  <c r="P14" i="4" s="1"/>
  <c r="Q14" i="4" s="1"/>
  <c r="R14" i="4" s="1"/>
  <c r="K14" i="4"/>
  <c r="J14" i="4"/>
  <c r="F14" i="4"/>
  <c r="E14" i="4"/>
  <c r="B14" i="4"/>
  <c r="W13" i="4"/>
  <c r="X13" i="4" s="1"/>
  <c r="N13" i="4"/>
  <c r="O13" i="4" s="1"/>
  <c r="P13" i="4" s="1"/>
  <c r="Q13" i="4" s="1"/>
  <c r="R13" i="4" s="1"/>
  <c r="K13" i="4"/>
  <c r="J13" i="4"/>
  <c r="F13" i="4"/>
  <c r="E13" i="4"/>
  <c r="B13" i="4"/>
  <c r="W12" i="4"/>
  <c r="X12" i="4" s="1"/>
  <c r="N12" i="4"/>
  <c r="O12" i="4" s="1"/>
  <c r="P12" i="4" s="1"/>
  <c r="Q12" i="4" s="1"/>
  <c r="R12" i="4" s="1"/>
  <c r="K12" i="4"/>
  <c r="J12" i="4"/>
  <c r="F12" i="4"/>
  <c r="E12" i="4"/>
  <c r="B12" i="4"/>
  <c r="W11" i="4"/>
  <c r="X11" i="4" s="1"/>
  <c r="N11" i="4"/>
  <c r="O11" i="4" s="1"/>
  <c r="P11" i="4" s="1"/>
  <c r="Q11" i="4" s="1"/>
  <c r="R11" i="4" s="1"/>
  <c r="K11" i="4"/>
  <c r="J11" i="4"/>
  <c r="F11" i="4"/>
  <c r="E11" i="4"/>
  <c r="B11" i="4"/>
  <c r="W10" i="4"/>
  <c r="X10" i="4" s="1"/>
  <c r="O10" i="4"/>
  <c r="P10" i="4" s="1"/>
  <c r="Q10" i="4" s="1"/>
  <c r="R10" i="4" s="1"/>
  <c r="N10" i="4"/>
  <c r="K10" i="4"/>
  <c r="J10" i="4"/>
  <c r="F10" i="4"/>
  <c r="E10" i="4"/>
  <c r="B10" i="4"/>
  <c r="W9" i="4"/>
  <c r="X9" i="4" s="1"/>
  <c r="N9" i="4"/>
  <c r="O9" i="4" s="1"/>
  <c r="P9" i="4" s="1"/>
  <c r="Q9" i="4" s="1"/>
  <c r="R9" i="4" s="1"/>
  <c r="K9" i="4"/>
  <c r="J9" i="4"/>
  <c r="F9" i="4"/>
  <c r="E9" i="4"/>
  <c r="B9" i="4"/>
  <c r="W8" i="4"/>
  <c r="X8" i="4" s="1"/>
  <c r="N8" i="4"/>
  <c r="O8" i="4" s="1"/>
  <c r="P8" i="4" s="1"/>
  <c r="Q8" i="4" s="1"/>
  <c r="R8" i="4" s="1"/>
  <c r="K8" i="4"/>
  <c r="J8" i="4"/>
  <c r="F8" i="4"/>
  <c r="E8" i="4"/>
  <c r="B8" i="4"/>
  <c r="W7" i="4"/>
  <c r="X7" i="4" s="1"/>
  <c r="N7" i="4"/>
  <c r="O7" i="4" s="1"/>
  <c r="P7" i="4" s="1"/>
  <c r="Q7" i="4" s="1"/>
  <c r="R7" i="4" s="1"/>
  <c r="K7" i="4"/>
  <c r="J7" i="4"/>
  <c r="F7" i="4"/>
  <c r="E7" i="4"/>
  <c r="B7" i="4"/>
  <c r="W6" i="4"/>
  <c r="X6" i="4" s="1"/>
  <c r="N6" i="4"/>
  <c r="O6" i="4" s="1"/>
  <c r="P6" i="4" s="1"/>
  <c r="Q6" i="4" s="1"/>
  <c r="R6" i="4" s="1"/>
  <c r="K6" i="4"/>
  <c r="J6" i="4"/>
  <c r="F6" i="4"/>
  <c r="E6" i="4"/>
  <c r="B6" i="4"/>
  <c r="W5" i="4"/>
  <c r="X5" i="4" s="1"/>
  <c r="N5" i="4"/>
  <c r="O5" i="4" s="1"/>
  <c r="P5" i="4" s="1"/>
  <c r="Q5" i="4" s="1"/>
  <c r="R5" i="4" s="1"/>
  <c r="K5" i="4"/>
  <c r="J5" i="4"/>
  <c r="F5" i="4"/>
  <c r="E5" i="4"/>
  <c r="B5" i="4"/>
  <c r="W4" i="4"/>
  <c r="X4" i="4" s="1"/>
  <c r="N4" i="4"/>
  <c r="O4" i="4" s="1"/>
  <c r="P4" i="4" s="1"/>
  <c r="Q4" i="4" s="1"/>
  <c r="R4" i="4" s="1"/>
  <c r="K4" i="4"/>
  <c r="J4" i="4"/>
  <c r="F4" i="4"/>
  <c r="E4" i="4"/>
  <c r="B4" i="4"/>
  <c r="W3" i="4"/>
  <c r="G3" i="4" s="1"/>
  <c r="O3" i="4"/>
  <c r="P3" i="4" s="1"/>
  <c r="Q3" i="4" s="1"/>
  <c r="R3" i="4" s="1"/>
  <c r="K3" i="4"/>
  <c r="J3" i="4"/>
  <c r="F3" i="4"/>
  <c r="E3" i="4"/>
  <c r="B3" i="4"/>
  <c r="W2" i="4"/>
  <c r="X2" i="4" s="1"/>
  <c r="P2" i="4"/>
  <c r="Q2" i="4" s="1"/>
  <c r="R2" i="4" s="1"/>
  <c r="N2" i="4"/>
  <c r="K2" i="4"/>
  <c r="J2" i="4"/>
  <c r="G2" i="4"/>
  <c r="F2" i="4"/>
  <c r="E2" i="4"/>
  <c r="B2" i="4"/>
  <c r="K1" i="4"/>
  <c r="J1" i="4"/>
  <c r="I1" i="4"/>
  <c r="H1" i="4"/>
  <c r="G1" i="4"/>
  <c r="F1" i="4"/>
  <c r="E1" i="4"/>
  <c r="G18" i="4" l="1"/>
  <c r="A2" i="4"/>
  <c r="T2" i="4"/>
  <c r="C2" i="4" s="1"/>
  <c r="D2" i="4" s="1"/>
  <c r="T7" i="4"/>
  <c r="C7" i="4" s="1"/>
  <c r="D7" i="4" s="1"/>
  <c r="A7" i="4"/>
  <c r="Y10" i="4"/>
  <c r="I10" i="4" s="1"/>
  <c r="H10" i="4"/>
  <c r="T13" i="4"/>
  <c r="C13" i="4" s="1"/>
  <c r="D13" i="4" s="1"/>
  <c r="A13" i="4"/>
  <c r="Y14" i="4"/>
  <c r="I14" i="4" s="1"/>
  <c r="H14" i="4"/>
  <c r="Y15" i="4"/>
  <c r="I15" i="4" s="1"/>
  <c r="H15" i="4"/>
  <c r="Y16" i="4"/>
  <c r="I16" i="4" s="1"/>
  <c r="H16" i="4"/>
  <c r="Y17" i="4"/>
  <c r="I17" i="4" s="1"/>
  <c r="H17" i="4"/>
  <c r="Y4" i="4"/>
  <c r="I4" i="4" s="1"/>
  <c r="H4" i="4"/>
  <c r="H2" i="4"/>
  <c r="Y2" i="4"/>
  <c r="I2" i="4" s="1"/>
  <c r="T6" i="4"/>
  <c r="C6" i="4" s="1"/>
  <c r="D6" i="4" s="1"/>
  <c r="A6" i="4"/>
  <c r="Y7" i="4"/>
  <c r="I7" i="4" s="1"/>
  <c r="H7" i="4"/>
  <c r="T8" i="4"/>
  <c r="C8" i="4" s="1"/>
  <c r="D8" i="4" s="1"/>
  <c r="A8" i="4"/>
  <c r="T12" i="4"/>
  <c r="C12" i="4" s="1"/>
  <c r="D12" i="4" s="1"/>
  <c r="A12" i="4"/>
  <c r="Y13" i="4"/>
  <c r="I13" i="4" s="1"/>
  <c r="H13" i="4"/>
  <c r="T18" i="4"/>
  <c r="C18" i="4" s="1"/>
  <c r="D18" i="4" s="1"/>
  <c r="A18" i="4"/>
  <c r="T5" i="4"/>
  <c r="C5" i="4" s="1"/>
  <c r="D5" i="4" s="1"/>
  <c r="A5" i="4"/>
  <c r="Y6" i="4"/>
  <c r="I6" i="4" s="1"/>
  <c r="H6" i="4"/>
  <c r="Y8" i="4"/>
  <c r="I8" i="4" s="1"/>
  <c r="H8" i="4"/>
  <c r="T9" i="4"/>
  <c r="C9" i="4" s="1"/>
  <c r="D9" i="4" s="1"/>
  <c r="A9" i="4"/>
  <c r="T11" i="4"/>
  <c r="C11" i="4" s="1"/>
  <c r="D11" i="4" s="1"/>
  <c r="A11" i="4"/>
  <c r="Y12" i="4"/>
  <c r="I12" i="4" s="1"/>
  <c r="H12" i="4"/>
  <c r="A3" i="4"/>
  <c r="T3" i="4"/>
  <c r="C3" i="4" s="1"/>
  <c r="D3" i="4" s="1"/>
  <c r="T4" i="4"/>
  <c r="C4" i="4" s="1"/>
  <c r="D4" i="4" s="1"/>
  <c r="A4" i="4"/>
  <c r="Y5" i="4"/>
  <c r="I5" i="4" s="1"/>
  <c r="H5" i="4"/>
  <c r="Y9" i="4"/>
  <c r="I9" i="4" s="1"/>
  <c r="H9" i="4"/>
  <c r="T10" i="4"/>
  <c r="C10" i="4" s="1"/>
  <c r="D10" i="4" s="1"/>
  <c r="A10" i="4"/>
  <c r="Y11" i="4"/>
  <c r="I11" i="4" s="1"/>
  <c r="H11" i="4"/>
  <c r="T14" i="4"/>
  <c r="C14" i="4" s="1"/>
  <c r="D14" i="4" s="1"/>
  <c r="A14" i="4"/>
  <c r="T15" i="4"/>
  <c r="C15" i="4" s="1"/>
  <c r="D15" i="4" s="1"/>
  <c r="A15" i="4"/>
  <c r="T16" i="4"/>
  <c r="C16" i="4" s="1"/>
  <c r="D16" i="4" s="1"/>
  <c r="A16" i="4"/>
  <c r="T17" i="4"/>
  <c r="C17" i="4" s="1"/>
  <c r="D17" i="4" s="1"/>
  <c r="A17" i="4"/>
  <c r="Y18" i="4"/>
  <c r="I18" i="4" s="1"/>
  <c r="X3" i="4"/>
  <c r="G4" i="4"/>
  <c r="G5" i="4"/>
  <c r="G6" i="4"/>
  <c r="G7" i="4"/>
  <c r="G8" i="4"/>
  <c r="G9" i="4"/>
  <c r="G10" i="4"/>
  <c r="G11" i="4"/>
  <c r="G12" i="4"/>
  <c r="G13" i="4"/>
  <c r="G14" i="4"/>
  <c r="Y3" i="4" l="1"/>
  <c r="I3" i="4" s="1"/>
  <c r="H3" i="4"/>
  <c r="C16" i="2"/>
  <c r="K122" i="3" l="1"/>
  <c r="S121" i="3"/>
  <c r="O121" i="3"/>
  <c r="W109" i="3"/>
  <c r="H100" i="3"/>
  <c r="H99" i="3"/>
  <c r="H98" i="3"/>
  <c r="H97" i="3"/>
  <c r="H96" i="3"/>
  <c r="H95" i="3"/>
  <c r="H94" i="3"/>
  <c r="H93" i="3"/>
  <c r="H92" i="3"/>
  <c r="H91" i="3"/>
  <c r="H90" i="3"/>
  <c r="H89" i="3"/>
  <c r="H88" i="3"/>
  <c r="H87" i="3"/>
  <c r="H86" i="3"/>
  <c r="H85" i="3"/>
  <c r="H84" i="3"/>
  <c r="H83" i="3"/>
  <c r="L79" i="3"/>
  <c r="H79" i="3"/>
  <c r="H78" i="3"/>
  <c r="H77" i="3"/>
  <c r="H76" i="3"/>
  <c r="H75" i="3"/>
  <c r="H74" i="3"/>
  <c r="H73" i="3"/>
  <c r="H72" i="3"/>
  <c r="H71" i="3"/>
  <c r="H70" i="3"/>
  <c r="H69" i="3"/>
  <c r="H68" i="3"/>
  <c r="M64" i="3"/>
  <c r="N63" i="3"/>
  <c r="N66" i="3" s="1"/>
  <c r="I63" i="3"/>
  <c r="J63" i="3" s="1"/>
  <c r="H63" i="3"/>
  <c r="J62" i="3"/>
  <c r="H62" i="3"/>
  <c r="H61" i="3"/>
  <c r="H60" i="3"/>
  <c r="P59" i="3"/>
  <c r="Q58" i="3"/>
  <c r="M58" i="3"/>
  <c r="L44" i="3"/>
  <c r="L35" i="3"/>
  <c r="P34" i="3"/>
  <c r="P35" i="3" s="1"/>
  <c r="P33" i="3"/>
  <c r="L28" i="3"/>
  <c r="C26" i="3"/>
  <c r="C32" i="3" s="1"/>
  <c r="C21" i="3"/>
  <c r="C31" i="3" s="1"/>
  <c r="O15" i="3"/>
  <c r="H15" i="3"/>
  <c r="J15" i="3" s="1"/>
  <c r="K15" i="3" s="1"/>
  <c r="L15" i="3" s="1"/>
  <c r="N15" i="3" s="1"/>
  <c r="M15" i="3" s="1"/>
  <c r="O14" i="3"/>
  <c r="H14" i="3"/>
  <c r="J14" i="3" s="1"/>
  <c r="K14" i="3" s="1"/>
  <c r="L14" i="3" s="1"/>
  <c r="N14" i="3" s="1"/>
  <c r="O13" i="3"/>
  <c r="H13" i="3"/>
  <c r="J13" i="3" s="1"/>
  <c r="K13" i="3" s="1"/>
  <c r="L13" i="3" s="1"/>
  <c r="N13" i="3" s="1"/>
  <c r="M13" i="3" s="1"/>
  <c r="O12" i="3"/>
  <c r="H12" i="3"/>
  <c r="J12" i="3" s="1"/>
  <c r="K12" i="3" s="1"/>
  <c r="L12" i="3" s="1"/>
  <c r="N12" i="3" s="1"/>
  <c r="O11" i="3"/>
  <c r="H11" i="3"/>
  <c r="J11" i="3" s="1"/>
  <c r="K11" i="3" s="1"/>
  <c r="L11" i="3" s="1"/>
  <c r="N11" i="3" s="1"/>
  <c r="M11" i="3" s="1"/>
  <c r="O10" i="3"/>
  <c r="H10" i="3"/>
  <c r="J10" i="3" s="1"/>
  <c r="K10" i="3" s="1"/>
  <c r="L10" i="3" s="1"/>
  <c r="N10" i="3" s="1"/>
  <c r="O9" i="3"/>
  <c r="H9" i="3"/>
  <c r="J9" i="3" s="1"/>
  <c r="K9" i="3" s="1"/>
  <c r="L9" i="3" s="1"/>
  <c r="N9" i="3" s="1"/>
  <c r="M9" i="3" s="1"/>
  <c r="O8" i="3"/>
  <c r="H8" i="3"/>
  <c r="J8" i="3" s="1"/>
  <c r="K8" i="3" s="1"/>
  <c r="L8" i="3" s="1"/>
  <c r="N8" i="3" s="1"/>
  <c r="C4" i="3"/>
  <c r="C29" i="3" s="1"/>
  <c r="I3" i="3"/>
  <c r="J2" i="3"/>
  <c r="L2" i="3" s="1"/>
  <c r="L35" i="2"/>
  <c r="P34" i="2"/>
  <c r="P33" i="2"/>
  <c r="P35" i="2" s="1"/>
  <c r="H101" i="2"/>
  <c r="H100" i="2"/>
  <c r="H99" i="2"/>
  <c r="H98" i="2"/>
  <c r="H97" i="2"/>
  <c r="H96" i="2"/>
  <c r="H95" i="2"/>
  <c r="H94" i="2"/>
  <c r="H93" i="2"/>
  <c r="H92" i="2"/>
  <c r="H91" i="2"/>
  <c r="H90" i="2"/>
  <c r="H89" i="2"/>
  <c r="H88" i="2"/>
  <c r="H87" i="2"/>
  <c r="H86" i="2"/>
  <c r="H85" i="2"/>
  <c r="H84" i="2"/>
  <c r="J62" i="2"/>
  <c r="H79" i="2"/>
  <c r="H78" i="2"/>
  <c r="H77" i="2"/>
  <c r="H76" i="2"/>
  <c r="H75" i="2"/>
  <c r="H74" i="2"/>
  <c r="H73" i="2"/>
  <c r="H72" i="2"/>
  <c r="H71" i="2"/>
  <c r="H70" i="2"/>
  <c r="H69" i="2"/>
  <c r="H68" i="2"/>
  <c r="I63" i="2"/>
  <c r="J63" i="2" s="1"/>
  <c r="H63" i="2"/>
  <c r="H62" i="2"/>
  <c r="H61" i="2"/>
  <c r="H60" i="2"/>
  <c r="I61" i="2" s="1"/>
  <c r="S121" i="2"/>
  <c r="W109" i="2"/>
  <c r="O121" i="2"/>
  <c r="K122" i="2"/>
  <c r="L79" i="2"/>
  <c r="N63" i="2"/>
  <c r="N66" i="2" s="1"/>
  <c r="M64" i="2"/>
  <c r="M58" i="2"/>
  <c r="J61" i="2" l="1"/>
  <c r="I64" i="2"/>
  <c r="J64" i="2" s="1"/>
  <c r="H81" i="2"/>
  <c r="I61" i="3"/>
  <c r="J61" i="3" s="1"/>
  <c r="M10" i="3"/>
  <c r="M12" i="3"/>
  <c r="M14" i="3"/>
  <c r="H80" i="3"/>
  <c r="H101" i="3"/>
  <c r="H102" i="2"/>
  <c r="O16" i="3"/>
  <c r="C36" i="3" s="1"/>
  <c r="C37" i="3" s="1"/>
  <c r="I64" i="3"/>
  <c r="J64" i="3" s="1"/>
  <c r="M8" i="3"/>
  <c r="M16" i="3" s="1"/>
  <c r="N16" i="3"/>
  <c r="I8" i="3"/>
  <c r="I9" i="3"/>
  <c r="I10" i="3"/>
  <c r="I11" i="3"/>
  <c r="I12" i="3"/>
  <c r="I13" i="3"/>
  <c r="I14" i="3"/>
  <c r="I15" i="3"/>
  <c r="P59" i="2"/>
  <c r="Q58" i="2"/>
  <c r="L44" i="2"/>
  <c r="L28" i="2"/>
  <c r="I3" i="2"/>
  <c r="O8" i="2"/>
  <c r="H8" i="2"/>
  <c r="J8" i="2" s="1"/>
  <c r="K8" i="2" s="1"/>
  <c r="L8" i="2" s="1"/>
  <c r="N8" i="2" s="1"/>
  <c r="O11" i="2"/>
  <c r="H11" i="2"/>
  <c r="J11" i="2" s="1"/>
  <c r="K11" i="2" s="1"/>
  <c r="L11" i="2" s="1"/>
  <c r="N11" i="2" s="1"/>
  <c r="O10" i="2"/>
  <c r="H10" i="2"/>
  <c r="J10" i="2" s="1"/>
  <c r="K10" i="2" s="1"/>
  <c r="L10" i="2" s="1"/>
  <c r="N10" i="2" s="1"/>
  <c r="O9" i="2"/>
  <c r="H9" i="2"/>
  <c r="J9" i="2" s="1"/>
  <c r="K9" i="2" s="1"/>
  <c r="L9" i="2" s="1"/>
  <c r="N9" i="2" s="1"/>
  <c r="C30" i="3" l="1"/>
  <c r="C33" i="3" s="1"/>
  <c r="L3" i="3"/>
  <c r="L4" i="3" s="1"/>
  <c r="I9" i="2"/>
  <c r="M8" i="2"/>
  <c r="I10" i="2"/>
  <c r="I11" i="2"/>
  <c r="I8" i="2"/>
  <c r="M9" i="2"/>
  <c r="M10" i="2"/>
  <c r="M11" i="2"/>
  <c r="C35" i="3" l="1"/>
  <c r="P4" i="3"/>
  <c r="R4" i="3" s="1"/>
  <c r="P3" i="3"/>
  <c r="R3" i="3" s="1"/>
  <c r="P2" i="3"/>
  <c r="R2" i="3" s="1"/>
  <c r="C34" i="3"/>
  <c r="C26" i="2"/>
  <c r="C32" i="2" s="1"/>
  <c r="C21" i="2"/>
  <c r="C31" i="2" s="1"/>
  <c r="O15" i="2"/>
  <c r="H15" i="2"/>
  <c r="I15" i="2" s="1"/>
  <c r="O14" i="2"/>
  <c r="H14" i="2"/>
  <c r="O13" i="2"/>
  <c r="H13" i="2"/>
  <c r="I13" i="2" s="1"/>
  <c r="O12" i="2"/>
  <c r="H12" i="2"/>
  <c r="C4" i="2"/>
  <c r="C29" i="2" s="1"/>
  <c r="J2" i="2"/>
  <c r="L2" i="2" s="1"/>
  <c r="J15" i="2" l="1"/>
  <c r="K15" i="2" s="1"/>
  <c r="L15" i="2" s="1"/>
  <c r="N15" i="2" s="1"/>
  <c r="M15" i="2"/>
  <c r="J13" i="2"/>
  <c r="K13" i="2" s="1"/>
  <c r="L13" i="2" s="1"/>
  <c r="N13" i="2" s="1"/>
  <c r="M13" i="2" s="1"/>
  <c r="J12" i="2"/>
  <c r="K12" i="2" s="1"/>
  <c r="L12" i="2" s="1"/>
  <c r="N12" i="2" s="1"/>
  <c r="I12" i="2"/>
  <c r="J14" i="2"/>
  <c r="K14" i="2" s="1"/>
  <c r="L14" i="2" s="1"/>
  <c r="N14" i="2" s="1"/>
  <c r="M14" i="2" s="1"/>
  <c r="I14" i="2"/>
  <c r="O16" i="2"/>
  <c r="C36" i="2" s="1"/>
  <c r="C37" i="2" s="1"/>
  <c r="N16" i="2" l="1"/>
  <c r="C30" i="2" s="1"/>
  <c r="C33" i="2" s="1"/>
  <c r="M12" i="2"/>
  <c r="M16" i="2"/>
  <c r="C35" i="2" l="1"/>
  <c r="C34" i="2"/>
  <c r="L3" i="2"/>
  <c r="L4" i="2" s="1"/>
  <c r="P4" i="2"/>
  <c r="R4" i="2" s="1"/>
  <c r="P3" i="2"/>
  <c r="P2" i="2"/>
  <c r="R2" i="2" s="1"/>
  <c r="R3" i="2" l="1"/>
</calcChain>
</file>

<file path=xl/sharedStrings.xml><?xml version="1.0" encoding="utf-8"?>
<sst xmlns="http://schemas.openxmlformats.org/spreadsheetml/2006/main" count="301" uniqueCount="110">
  <si>
    <t>Year Of Const.</t>
  </si>
  <si>
    <t>Valuation Year</t>
  </si>
  <si>
    <t>Total Life of Structure</t>
  </si>
  <si>
    <t>% of the depreciation rate to be deducted</t>
  </si>
  <si>
    <t>% Value</t>
  </si>
  <si>
    <t>Full Rate</t>
  </si>
  <si>
    <t>Rate</t>
  </si>
  <si>
    <t>Value</t>
  </si>
  <si>
    <t>Total Value</t>
  </si>
  <si>
    <t>Realisable Value</t>
  </si>
  <si>
    <t>Distress Value</t>
  </si>
  <si>
    <t>land area</t>
  </si>
  <si>
    <t>Land Development</t>
  </si>
  <si>
    <t>Land Value</t>
  </si>
  <si>
    <t>Structure Value</t>
  </si>
  <si>
    <t>Land Development Value</t>
  </si>
  <si>
    <t>Final Depreciated Rate to be considered</t>
  </si>
  <si>
    <t>Final Depreciated Value to be considered</t>
  </si>
  <si>
    <t xml:space="preserve"> Value</t>
  </si>
  <si>
    <t>Built up area</t>
  </si>
  <si>
    <t>Interior and other Development</t>
  </si>
  <si>
    <t>Interior and Other Development</t>
  </si>
  <si>
    <t>Normal Case</t>
  </si>
  <si>
    <t xml:space="preserve">Sr. No. </t>
  </si>
  <si>
    <t>Insurable Value</t>
  </si>
  <si>
    <t>Government value</t>
  </si>
  <si>
    <t>Depreciation</t>
  </si>
  <si>
    <t>Particulars</t>
  </si>
  <si>
    <t>Balance Life of Structures in Years</t>
  </si>
  <si>
    <t>Age Of Build. In Years</t>
  </si>
  <si>
    <t xml:space="preserve">Built Up Area </t>
  </si>
  <si>
    <r>
      <t>(</t>
    </r>
    <r>
      <rPr>
        <b/>
        <sz val="11"/>
        <rFont val="Rupee Foradian"/>
        <family val="2"/>
      </rPr>
      <t>`</t>
    </r>
    <r>
      <rPr>
        <b/>
        <sz val="11"/>
        <rFont val="Calibri"/>
        <family val="2"/>
      </rPr>
      <t>)</t>
    </r>
  </si>
  <si>
    <r>
      <t>(</t>
    </r>
    <r>
      <rPr>
        <b/>
        <sz val="11"/>
        <color rgb="FFFF0000"/>
        <rFont val="Rupee Foradian"/>
        <family val="2"/>
      </rPr>
      <t>`</t>
    </r>
    <r>
      <rPr>
        <b/>
        <sz val="11"/>
        <color rgb="FFFF0000"/>
        <rFont val="Calibri"/>
        <family val="2"/>
      </rPr>
      <t>)</t>
    </r>
  </si>
  <si>
    <t>Rent</t>
  </si>
  <si>
    <t>Residential</t>
  </si>
  <si>
    <t>Property Value</t>
  </si>
  <si>
    <t>Commercial</t>
  </si>
  <si>
    <t>Industrial</t>
  </si>
  <si>
    <t>Government rate</t>
  </si>
  <si>
    <t xml:space="preserve">Sq. M. </t>
  </si>
  <si>
    <t>Sq. Ft.</t>
  </si>
  <si>
    <t>Net Insurable Value</t>
  </si>
  <si>
    <t>Full Value</t>
  </si>
  <si>
    <t>(Sq. M. / Sq. Ft.)</t>
  </si>
  <si>
    <t>Sq. M. / Sq. Ft.</t>
  </si>
  <si>
    <t>Survey No. 33/4</t>
  </si>
  <si>
    <t>20 Are</t>
  </si>
  <si>
    <t>Sq. M.</t>
  </si>
  <si>
    <t>Survey No. 34/2/2</t>
  </si>
  <si>
    <t>Surat Beverages Limited</t>
  </si>
  <si>
    <t>98 Are</t>
  </si>
  <si>
    <t>As per Sale Deed</t>
  </si>
  <si>
    <t>As per previous valuation report</t>
  </si>
  <si>
    <t>As provided by client</t>
  </si>
  <si>
    <t>Factory Shed</t>
  </si>
  <si>
    <t>Bungalow</t>
  </si>
  <si>
    <t>G + 1</t>
  </si>
  <si>
    <t>G+1</t>
  </si>
  <si>
    <t>As per approved building plan</t>
  </si>
  <si>
    <t>Factory Building &amp; Shed</t>
  </si>
  <si>
    <t>Ground Floor</t>
  </si>
  <si>
    <t>Mezzanine Floor</t>
  </si>
  <si>
    <t>First Floor</t>
  </si>
  <si>
    <t>Total Area of Plot No. 7</t>
  </si>
  <si>
    <t>Permissable BUA (50%)</t>
  </si>
  <si>
    <t>Plot No. 7, 12 to 15, S. No. 33/1/2, 33/2/1, 33/4, 33/2/2, 34/2/1 &amp; 34/2/2</t>
  </si>
  <si>
    <t>Plot No.</t>
  </si>
  <si>
    <t>Area in Sq. M.</t>
  </si>
  <si>
    <t>Common Open plot</t>
  </si>
  <si>
    <t>Road Area</t>
  </si>
  <si>
    <t>Common Amenity</t>
  </si>
  <si>
    <t>Sachi Moulding Solutions Pvt. Ltd.</t>
  </si>
  <si>
    <t>Riva Packaging Solutions Pvt. Ltd.</t>
  </si>
  <si>
    <t>As per Site Measurement</t>
  </si>
  <si>
    <t>33/1/2</t>
  </si>
  <si>
    <t>33/2/1</t>
  </si>
  <si>
    <t>33/2/2</t>
  </si>
  <si>
    <t>33/4</t>
  </si>
  <si>
    <t>33/3</t>
  </si>
  <si>
    <t>34/2/1</t>
  </si>
  <si>
    <t>34/2/2</t>
  </si>
  <si>
    <t>Land area as per Mortagaged Deed</t>
  </si>
  <si>
    <t>Land area as per statement provided by client</t>
  </si>
  <si>
    <t>Difference</t>
  </si>
  <si>
    <t>Survey Nos. as per Title Search Report</t>
  </si>
  <si>
    <t>Common Amenity Space</t>
  </si>
  <si>
    <t>Common Open Plot</t>
  </si>
  <si>
    <t>Internal Road</t>
  </si>
  <si>
    <t>Area as per 7/12 Extract</t>
  </si>
  <si>
    <t>Area as per Title Search report</t>
  </si>
  <si>
    <t xml:space="preserve"> Plot No.</t>
  </si>
  <si>
    <t xml:space="preserve">Factory </t>
  </si>
  <si>
    <t>Site Measurement in Sq. M.</t>
  </si>
  <si>
    <t>Site Measurement in Sq. ft.</t>
  </si>
  <si>
    <t>Land area in Sq. M.</t>
  </si>
  <si>
    <t>Rate on Sq. M.</t>
  </si>
  <si>
    <t>Rate on Sq. Ft.</t>
  </si>
  <si>
    <t>Land in Hector</t>
  </si>
  <si>
    <t>Land in Acre</t>
  </si>
  <si>
    <t>Land in Guntha</t>
  </si>
  <si>
    <t>Land in Sq. Yard</t>
  </si>
  <si>
    <t>Land in Sq. Ft.</t>
  </si>
  <si>
    <t>Land in Sq. M.</t>
  </si>
  <si>
    <t>Construction Area</t>
  </si>
  <si>
    <t>Cost of Construction</t>
  </si>
  <si>
    <t>Construction value</t>
  </si>
  <si>
    <t>Land Value (Including Land development)</t>
  </si>
  <si>
    <t>Land Rate (Including Development) per Sq. M.</t>
  </si>
  <si>
    <t>Location</t>
  </si>
  <si>
    <t>Distance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</si>
</sst>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0.0"/>
    <numFmt numFmtId="165" formatCode="_ * #,##0_ ;_ * \-#,##0_ ;_ * &quot;-&quot;??_ ;_ @_ "/>
  </numFmts>
  <fonts count="20" x14ac:knownFonts="1">
    <font>
      <sz val="11"/>
      <color theme="1"/>
      <name val="Calibri"/>
      <family val="2"/>
      <scheme val="minor"/>
    </font>
    <font>
      <sz val="11"/>
      <color theme="1"/>
      <name val="Arial Narrow"/>
      <family val="2"/>
    </font>
    <font>
      <b/>
      <sz val="10"/>
      <color theme="1"/>
      <name val="Arial Narrow"/>
      <family val="2"/>
    </font>
    <font>
      <sz val="11"/>
      <color rgb="FFFF0000"/>
      <name val="Arial Narrow"/>
      <family val="2"/>
    </font>
    <font>
      <b/>
      <sz val="10"/>
      <name val="Arial Narrow"/>
      <family val="2"/>
    </font>
    <font>
      <b/>
      <sz val="11"/>
      <name val="Calibri"/>
      <family val="2"/>
    </font>
    <font>
      <b/>
      <sz val="10"/>
      <color rgb="FFFF0000"/>
      <name val="Arial Narrow"/>
      <family val="2"/>
    </font>
    <font>
      <b/>
      <sz val="11"/>
      <color rgb="FFFF0000"/>
      <name val="Calibri"/>
      <family val="2"/>
    </font>
    <font>
      <b/>
      <sz val="11"/>
      <color theme="1"/>
      <name val="Arial Narrow"/>
      <family val="2"/>
    </font>
    <font>
      <sz val="11"/>
      <name val="Arial Narrow"/>
      <family val="2"/>
    </font>
    <font>
      <b/>
      <sz val="11"/>
      <color rgb="FFFF0000"/>
      <name val="Arial Narrow"/>
      <family val="2"/>
    </font>
    <font>
      <sz val="11"/>
      <color rgb="FF000000"/>
      <name val="Arial Narrow"/>
      <family val="2"/>
    </font>
    <font>
      <sz val="10"/>
      <color theme="1"/>
      <name val="Arial Narrow"/>
      <family val="2"/>
    </font>
    <font>
      <b/>
      <sz val="11"/>
      <name val="Rupee Foradian"/>
      <family val="2"/>
    </font>
    <font>
      <b/>
      <sz val="11"/>
      <color rgb="FFFF0000"/>
      <name val="Rupee Foradian"/>
      <family val="2"/>
    </font>
    <font>
      <sz val="11"/>
      <color theme="1"/>
      <name val="Calibri"/>
      <family val="2"/>
      <scheme val="minor"/>
    </font>
    <font>
      <b/>
      <sz val="11"/>
      <name val="Arial Narrow"/>
      <family val="2"/>
    </font>
    <font>
      <sz val="10"/>
      <color theme="1"/>
      <name val="Times New Roman"/>
      <family val="1"/>
    </font>
    <font>
      <sz val="11"/>
      <color rgb="FF00B050"/>
      <name val="Arial Narrow"/>
      <family val="2"/>
    </font>
    <font>
      <sz val="11"/>
      <color rgb="FFFF000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43" fontId="15" fillId="0" borderId="0" applyFont="0" applyFill="0" applyBorder="0" applyAlignment="0" applyProtection="0"/>
  </cellStyleXfs>
  <cellXfs count="122">
    <xf numFmtId="0" fontId="0" fillId="0" borderId="0" xfId="0"/>
    <xf numFmtId="0" fontId="1" fillId="0" borderId="0" xfId="0" applyFont="1"/>
    <xf numFmtId="0" fontId="1" fillId="0" borderId="0" xfId="0" applyFont="1" applyAlignment="1">
      <alignment wrapText="1"/>
    </xf>
    <xf numFmtId="0" fontId="2" fillId="0" borderId="0" xfId="0" applyFont="1" applyAlignment="1">
      <alignment horizontal="center"/>
    </xf>
    <xf numFmtId="0" fontId="4" fillId="0" borderId="1" xfId="0" applyFont="1" applyBorder="1" applyAlignment="1">
      <alignment horizontal="center" vertical="top" wrapText="1" shrinkToFit="1"/>
    </xf>
    <xf numFmtId="0" fontId="6" fillId="0" borderId="1" xfId="0" applyFont="1" applyBorder="1" applyAlignment="1">
      <alignment horizontal="center" vertical="top" wrapText="1" shrinkToFit="1"/>
    </xf>
    <xf numFmtId="0" fontId="3" fillId="0" borderId="1" xfId="0" applyFont="1" applyBorder="1" applyAlignment="1">
      <alignment vertical="top"/>
    </xf>
    <xf numFmtId="0" fontId="3" fillId="0" borderId="0" xfId="0" applyFont="1"/>
    <xf numFmtId="0" fontId="7" fillId="0" borderId="1" xfId="0" applyFont="1" applyBorder="1" applyAlignment="1">
      <alignment horizontal="center" vertical="top" wrapText="1" shrinkToFit="1"/>
    </xf>
    <xf numFmtId="0" fontId="8" fillId="0" borderId="0" xfId="0" applyFont="1" applyAlignment="1">
      <alignment horizontal="center" vertical="top"/>
    </xf>
    <xf numFmtId="0" fontId="1" fillId="0" borderId="0" xfId="0" applyFont="1" applyAlignment="1">
      <alignment vertical="top" wrapText="1"/>
    </xf>
    <xf numFmtId="0" fontId="1" fillId="0" borderId="0" xfId="0" applyFont="1" applyAlignment="1">
      <alignment vertical="top"/>
    </xf>
    <xf numFmtId="0" fontId="3" fillId="0" borderId="0" xfId="0" applyFont="1" applyAlignment="1">
      <alignment vertical="top"/>
    </xf>
    <xf numFmtId="0" fontId="8" fillId="0" borderId="0" xfId="0" applyFont="1" applyAlignment="1">
      <alignment wrapText="1"/>
    </xf>
    <xf numFmtId="0" fontId="10" fillId="0" borderId="0" xfId="0" applyFont="1" applyAlignment="1">
      <alignment horizontal="center" vertical="top"/>
    </xf>
    <xf numFmtId="4" fontId="3" fillId="0" borderId="1" xfId="0" applyNumberFormat="1" applyFont="1" applyBorder="1" applyAlignment="1">
      <alignment vertical="top"/>
    </xf>
    <xf numFmtId="4" fontId="3" fillId="0" borderId="0" xfId="0" applyNumberFormat="1" applyFont="1" applyAlignment="1">
      <alignment vertical="top"/>
    </xf>
    <xf numFmtId="4" fontId="1" fillId="0" borderId="0" xfId="0" applyNumberFormat="1" applyFont="1" applyAlignment="1">
      <alignment vertical="top"/>
    </xf>
    <xf numFmtId="4" fontId="1" fillId="0" borderId="0" xfId="0" applyNumberFormat="1" applyFont="1"/>
    <xf numFmtId="4" fontId="3" fillId="0" borderId="0" xfId="0" applyNumberFormat="1" applyFont="1"/>
    <xf numFmtId="4" fontId="10" fillId="0" borderId="0" xfId="0" applyNumberFormat="1" applyFont="1"/>
    <xf numFmtId="0" fontId="10" fillId="0" borderId="0" xfId="0" applyFont="1"/>
    <xf numFmtId="0" fontId="9" fillId="0" borderId="0" xfId="0" applyFont="1"/>
    <xf numFmtId="0" fontId="1" fillId="0" borderId="1" xfId="0" applyFont="1" applyBorder="1" applyAlignment="1">
      <alignment horizontal="center" wrapText="1"/>
    </xf>
    <xf numFmtId="0" fontId="1" fillId="0" borderId="1" xfId="0" applyFont="1" applyBorder="1" applyAlignment="1">
      <alignment horizontal="center"/>
    </xf>
    <xf numFmtId="0" fontId="3" fillId="0" borderId="1" xfId="0" applyFont="1" applyBorder="1" applyAlignment="1">
      <alignment horizontal="center"/>
    </xf>
    <xf numFmtId="0" fontId="9" fillId="0" borderId="1" xfId="0" applyFont="1" applyBorder="1"/>
    <xf numFmtId="4" fontId="9" fillId="0" borderId="0" xfId="0" applyNumberFormat="1" applyFont="1" applyAlignment="1">
      <alignment vertical="top"/>
    </xf>
    <xf numFmtId="0" fontId="4" fillId="0" borderId="0" xfId="0" applyFont="1" applyAlignment="1">
      <alignment horizontal="center" vertical="top" wrapText="1" shrinkToFit="1"/>
    </xf>
    <xf numFmtId="0" fontId="3" fillId="0" borderId="0" xfId="0" applyFont="1" applyAlignment="1">
      <alignment horizontal="center"/>
    </xf>
    <xf numFmtId="4" fontId="3" fillId="0" borderId="2" xfId="0" applyNumberFormat="1" applyFont="1" applyBorder="1" applyAlignment="1">
      <alignment vertical="top"/>
    </xf>
    <xf numFmtId="2" fontId="1" fillId="0" borderId="0" xfId="0" applyNumberFormat="1" applyFont="1"/>
    <xf numFmtId="0" fontId="3" fillId="0" borderId="0" xfId="0" applyFont="1" applyAlignment="1">
      <alignment horizontal="center" wrapText="1"/>
    </xf>
    <xf numFmtId="0" fontId="9" fillId="0" borderId="1" xfId="0" applyFont="1" applyBorder="1" applyAlignment="1">
      <alignment horizontal="right" vertical="center" wrapText="1"/>
    </xf>
    <xf numFmtId="2" fontId="3" fillId="0" borderId="0" xfId="0" applyNumberFormat="1" applyFont="1"/>
    <xf numFmtId="0" fontId="1" fillId="0" borderId="0" xfId="0" applyFont="1" applyAlignment="1">
      <alignment horizontal="right" vertical="top" wrapText="1"/>
    </xf>
    <xf numFmtId="0" fontId="11" fillId="0" borderId="0" xfId="0" applyFont="1" applyAlignment="1">
      <alignment horizontal="left" vertical="top" wrapText="1"/>
    </xf>
    <xf numFmtId="0" fontId="8" fillId="0" borderId="0" xfId="0" applyFont="1" applyAlignment="1">
      <alignment horizontal="center" vertical="top" wrapText="1"/>
    </xf>
    <xf numFmtId="0" fontId="1" fillId="0" borderId="0" xfId="0" applyFont="1" applyAlignment="1">
      <alignment horizontal="center" vertical="top" wrapText="1"/>
    </xf>
    <xf numFmtId="0" fontId="11" fillId="0" borderId="0" xfId="0" applyFont="1" applyAlignment="1">
      <alignment horizontal="right" vertical="top" wrapText="1"/>
    </xf>
    <xf numFmtId="0" fontId="1" fillId="0" borderId="0" xfId="0" applyFont="1" applyAlignment="1">
      <alignment horizontal="center"/>
    </xf>
    <xf numFmtId="0" fontId="2" fillId="0" borderId="1" xfId="0" applyFont="1" applyBorder="1" applyAlignment="1">
      <alignment horizontal="center"/>
    </xf>
    <xf numFmtId="0" fontId="5" fillId="0" borderId="1" xfId="0" applyFont="1" applyBorder="1" applyAlignment="1">
      <alignment horizontal="center" vertical="top" wrapText="1" shrinkToFit="1"/>
    </xf>
    <xf numFmtId="0" fontId="6" fillId="0" borderId="1" xfId="0" applyFont="1" applyBorder="1" applyAlignment="1">
      <alignment horizontal="center" vertical="top" wrapText="1"/>
    </xf>
    <xf numFmtId="4" fontId="1" fillId="0" borderId="1" xfId="0" applyNumberFormat="1" applyFont="1" applyBorder="1" applyAlignment="1">
      <alignment horizontal="right" vertical="top" wrapText="1"/>
    </xf>
    <xf numFmtId="0" fontId="12" fillId="0" borderId="1" xfId="0" applyFont="1" applyBorder="1" applyAlignment="1">
      <alignment horizontal="center"/>
    </xf>
    <xf numFmtId="0" fontId="11" fillId="0" borderId="1" xfId="0" applyFont="1" applyBorder="1" applyAlignment="1">
      <alignment vertical="top" wrapText="1"/>
    </xf>
    <xf numFmtId="0" fontId="1" fillId="0" borderId="1" xfId="0" applyFont="1" applyBorder="1" applyAlignment="1">
      <alignment vertical="top" wrapText="1"/>
    </xf>
    <xf numFmtId="0" fontId="1" fillId="0" borderId="1" xfId="0" applyFont="1" applyBorder="1" applyAlignment="1">
      <alignment vertical="top"/>
    </xf>
    <xf numFmtId="0" fontId="1" fillId="0" borderId="1" xfId="0" applyFont="1" applyBorder="1" applyAlignment="1">
      <alignment horizontal="center" vertical="top"/>
    </xf>
    <xf numFmtId="0" fontId="9" fillId="0" borderId="1" xfId="0" applyFont="1" applyBorder="1" applyAlignment="1">
      <alignment horizontal="right" vertical="top" wrapText="1"/>
    </xf>
    <xf numFmtId="0" fontId="12" fillId="0" borderId="1" xfId="0" applyFont="1" applyBorder="1" applyAlignment="1">
      <alignment horizontal="center" vertical="top"/>
    </xf>
    <xf numFmtId="3" fontId="9" fillId="0" borderId="1" xfId="0" applyNumberFormat="1" applyFont="1" applyBorder="1" applyAlignment="1">
      <alignment vertical="top"/>
    </xf>
    <xf numFmtId="3" fontId="3" fillId="0" borderId="0" xfId="0" applyNumberFormat="1" applyFont="1"/>
    <xf numFmtId="3" fontId="11" fillId="0" borderId="1" xfId="0" applyNumberFormat="1" applyFont="1" applyBorder="1" applyAlignment="1">
      <alignment horizontal="right" vertical="top" wrapText="1"/>
    </xf>
    <xf numFmtId="3" fontId="3" fillId="0" borderId="1" xfId="0" applyNumberFormat="1" applyFont="1" applyBorder="1" applyAlignment="1">
      <alignment vertical="top"/>
    </xf>
    <xf numFmtId="3" fontId="11" fillId="0" borderId="1" xfId="0" applyNumberFormat="1" applyFont="1" applyBorder="1" applyAlignment="1">
      <alignment horizontal="right" wrapText="1"/>
    </xf>
    <xf numFmtId="3" fontId="3" fillId="0" borderId="1" xfId="0" applyNumberFormat="1" applyFont="1" applyBorder="1"/>
    <xf numFmtId="3" fontId="1" fillId="0" borderId="1" xfId="0" applyNumberFormat="1" applyFont="1" applyBorder="1" applyAlignment="1">
      <alignment vertical="top"/>
    </xf>
    <xf numFmtId="3" fontId="9" fillId="0" borderId="1" xfId="0" applyNumberFormat="1" applyFont="1" applyBorder="1"/>
    <xf numFmtId="3" fontId="10" fillId="0" borderId="0" xfId="0" applyNumberFormat="1" applyFont="1"/>
    <xf numFmtId="0" fontId="8" fillId="0" borderId="0" xfId="0" applyFont="1"/>
    <xf numFmtId="3" fontId="8" fillId="0" borderId="0" xfId="0" applyNumberFormat="1" applyFont="1"/>
    <xf numFmtId="0" fontId="1" fillId="0" borderId="0" xfId="0" applyFont="1" applyAlignment="1">
      <alignment vertical="center"/>
    </xf>
    <xf numFmtId="3" fontId="1" fillId="0" borderId="0" xfId="0" applyNumberFormat="1" applyFont="1"/>
    <xf numFmtId="0" fontId="9" fillId="0" borderId="0" xfId="0" applyFont="1" applyAlignment="1">
      <alignment horizontal="right"/>
    </xf>
    <xf numFmtId="0" fontId="9" fillId="0" borderId="0" xfId="0" applyFont="1" applyAlignment="1">
      <alignment horizontal="center" vertical="top"/>
    </xf>
    <xf numFmtId="4" fontId="9" fillId="0" borderId="0" xfId="0" applyNumberFormat="1" applyFont="1"/>
    <xf numFmtId="4" fontId="9" fillId="0" borderId="0" xfId="0" applyNumberFormat="1" applyFont="1" applyAlignment="1">
      <alignment wrapText="1"/>
    </xf>
    <xf numFmtId="43" fontId="9" fillId="0" borderId="0" xfId="1" applyFont="1" applyAlignment="1">
      <alignment horizontal="right"/>
    </xf>
    <xf numFmtId="43" fontId="9" fillId="0" borderId="0" xfId="1" applyFont="1"/>
    <xf numFmtId="0" fontId="9" fillId="0" borderId="0" xfId="0" applyFont="1" applyAlignment="1">
      <alignment horizontal="right" vertical="top" wrapText="1"/>
    </xf>
    <xf numFmtId="0" fontId="0" fillId="0" borderId="0" xfId="0" applyAlignment="1">
      <alignment vertical="top" wrapText="1"/>
    </xf>
    <xf numFmtId="0" fontId="16" fillId="0" borderId="0" xfId="0" applyFont="1"/>
    <xf numFmtId="0" fontId="18" fillId="0" borderId="0" xfId="0" applyFont="1"/>
    <xf numFmtId="0" fontId="1" fillId="0" borderId="6" xfId="0" applyFont="1" applyBorder="1" applyAlignment="1">
      <alignment horizontal="center" vertical="center"/>
    </xf>
    <xf numFmtId="4" fontId="1" fillId="0" borderId="7" xfId="0" applyNumberFormat="1" applyFont="1" applyBorder="1" applyAlignment="1">
      <alignment horizontal="right" vertical="center"/>
    </xf>
    <xf numFmtId="0" fontId="17" fillId="0" borderId="7" xfId="0" applyFont="1" applyBorder="1" applyAlignment="1">
      <alignment vertical="top"/>
    </xf>
    <xf numFmtId="0" fontId="1" fillId="0" borderId="7" xfId="0" applyFont="1" applyBorder="1" applyAlignment="1">
      <alignment horizontal="right" vertical="center"/>
    </xf>
    <xf numFmtId="0" fontId="1" fillId="0" borderId="7" xfId="0" applyFont="1" applyBorder="1" applyAlignment="1">
      <alignment vertical="center"/>
    </xf>
    <xf numFmtId="0" fontId="16" fillId="0" borderId="8" xfId="0" applyFont="1" applyBorder="1" applyAlignment="1">
      <alignment horizontal="center" vertical="center"/>
    </xf>
    <xf numFmtId="0" fontId="9" fillId="0" borderId="6" xfId="0" applyFont="1" applyBorder="1" applyAlignment="1">
      <alignment horizontal="center" vertical="center"/>
    </xf>
    <xf numFmtId="4" fontId="9" fillId="0" borderId="6" xfId="0" applyNumberFormat="1" applyFont="1" applyBorder="1" applyAlignment="1">
      <alignment horizontal="right" vertical="center"/>
    </xf>
    <xf numFmtId="4" fontId="9" fillId="0" borderId="7" xfId="0" applyNumberFormat="1" applyFont="1" applyBorder="1" applyAlignment="1">
      <alignment horizontal="right" vertical="center"/>
    </xf>
    <xf numFmtId="2" fontId="9" fillId="0" borderId="6" xfId="0" applyNumberFormat="1" applyFont="1" applyBorder="1" applyAlignment="1">
      <alignment horizontal="right" vertical="center"/>
    </xf>
    <xf numFmtId="0" fontId="9" fillId="0" borderId="7" xfId="0" applyFont="1" applyBorder="1" applyAlignment="1">
      <alignment horizontal="right" vertical="center"/>
    </xf>
    <xf numFmtId="2" fontId="9" fillId="0" borderId="7" xfId="0" applyNumberFormat="1" applyFont="1" applyBorder="1" applyAlignment="1">
      <alignment horizontal="right" vertical="center"/>
    </xf>
    <xf numFmtId="43" fontId="1" fillId="0" borderId="8" xfId="1" applyFont="1" applyBorder="1" applyAlignment="1">
      <alignment horizontal="right" vertical="center"/>
    </xf>
    <xf numFmtId="43" fontId="1" fillId="0" borderId="6" xfId="1" applyFont="1" applyBorder="1" applyAlignment="1">
      <alignment horizontal="right" vertical="center"/>
    </xf>
    <xf numFmtId="43" fontId="8" fillId="0" borderId="6" xfId="1" applyFont="1" applyBorder="1" applyAlignment="1">
      <alignment horizontal="right" vertical="center"/>
    </xf>
    <xf numFmtId="0" fontId="3" fillId="0" borderId="8" xfId="0" applyFont="1" applyBorder="1" applyAlignment="1">
      <alignment horizontal="center" vertical="center" wrapText="1"/>
    </xf>
    <xf numFmtId="4" fontId="3" fillId="0" borderId="9" xfId="0" applyNumberFormat="1" applyFont="1" applyBorder="1" applyAlignment="1">
      <alignment horizontal="right" vertical="center" wrapText="1"/>
    </xf>
    <xf numFmtId="0" fontId="3" fillId="0" borderId="6" xfId="0" applyFont="1" applyBorder="1" applyAlignment="1">
      <alignment horizontal="center" vertical="center" wrapText="1"/>
    </xf>
    <xf numFmtId="0" fontId="3" fillId="0" borderId="7" xfId="0" applyFont="1" applyBorder="1" applyAlignment="1">
      <alignment horizontal="right" vertical="center" wrapText="1"/>
    </xf>
    <xf numFmtId="2" fontId="1" fillId="0" borderId="0" xfId="0" applyNumberFormat="1" applyFont="1" applyAlignment="1">
      <alignment horizontal="right" vertical="top" wrapText="1"/>
    </xf>
    <xf numFmtId="43" fontId="1" fillId="0" borderId="0" xfId="1" applyFont="1" applyAlignment="1">
      <alignment horizontal="right" vertical="top" wrapText="1"/>
    </xf>
    <xf numFmtId="43" fontId="1" fillId="0" borderId="0" xfId="1" applyFont="1"/>
    <xf numFmtId="0" fontId="3" fillId="0" borderId="1" xfId="0" applyFont="1" applyBorder="1" applyAlignment="1">
      <alignment horizontal="right" vertical="top" wrapText="1"/>
    </xf>
    <xf numFmtId="4" fontId="1" fillId="0" borderId="1" xfId="0" applyNumberFormat="1" applyFont="1" applyBorder="1" applyAlignment="1">
      <alignment vertical="top"/>
    </xf>
    <xf numFmtId="3" fontId="19" fillId="0" borderId="0" xfId="0" applyNumberFormat="1" applyFont="1" applyAlignment="1">
      <alignment wrapText="1"/>
    </xf>
    <xf numFmtId="3" fontId="0" fillId="0" borderId="0" xfId="0" applyNumberFormat="1" applyAlignment="1">
      <alignment wrapText="1"/>
    </xf>
    <xf numFmtId="3" fontId="0" fillId="0" borderId="0" xfId="0" applyNumberFormat="1" applyAlignment="1">
      <alignment horizontal="center" wrapText="1"/>
    </xf>
    <xf numFmtId="3" fontId="19" fillId="0" borderId="0" xfId="0" applyNumberFormat="1" applyFont="1"/>
    <xf numFmtId="3" fontId="0" fillId="0" borderId="0" xfId="0" applyNumberFormat="1"/>
    <xf numFmtId="0" fontId="9" fillId="0" borderId="8" xfId="0" applyFont="1" applyBorder="1" applyAlignment="1">
      <alignment horizontal="center" vertical="center" wrapText="1"/>
    </xf>
    <xf numFmtId="4" fontId="9" fillId="0" borderId="9" xfId="0" applyNumberFormat="1" applyFont="1" applyBorder="1" applyAlignment="1">
      <alignment horizontal="right" vertical="center" wrapText="1"/>
    </xf>
    <xf numFmtId="0" fontId="9" fillId="0" borderId="6" xfId="0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 wrapText="1"/>
    </xf>
    <xf numFmtId="3" fontId="9" fillId="0" borderId="0" xfId="0" applyNumberFormat="1" applyFont="1"/>
    <xf numFmtId="0" fontId="9" fillId="0" borderId="1" xfId="0" applyFont="1" applyBorder="1" applyAlignment="1">
      <alignment horizontal="center"/>
    </xf>
    <xf numFmtId="4" fontId="9" fillId="0" borderId="1" xfId="0" applyNumberFormat="1" applyFont="1" applyBorder="1" applyAlignment="1">
      <alignment vertical="top"/>
    </xf>
    <xf numFmtId="0" fontId="9" fillId="0" borderId="0" xfId="0" applyFont="1" applyAlignment="1">
      <alignment horizontal="center" wrapText="1"/>
    </xf>
    <xf numFmtId="2" fontId="9" fillId="0" borderId="7" xfId="0" applyNumberFormat="1" applyFont="1" applyBorder="1" applyAlignment="1">
      <alignment horizontal="right" vertical="center" wrapText="1"/>
    </xf>
    <xf numFmtId="4" fontId="1" fillId="0" borderId="8" xfId="0" applyNumberFormat="1" applyFont="1" applyBorder="1" applyAlignment="1">
      <alignment horizontal="right" vertical="center" wrapText="1"/>
    </xf>
    <xf numFmtId="0" fontId="1" fillId="0" borderId="6" xfId="0" applyFont="1" applyBorder="1" applyAlignment="1">
      <alignment horizontal="right" vertical="center" wrapText="1"/>
    </xf>
    <xf numFmtId="4" fontId="8" fillId="0" borderId="6" xfId="0" applyNumberFormat="1" applyFont="1" applyBorder="1" applyAlignment="1">
      <alignment horizontal="right" vertical="center" wrapText="1"/>
    </xf>
    <xf numFmtId="164" fontId="1" fillId="0" borderId="0" xfId="0" applyNumberFormat="1" applyFont="1"/>
    <xf numFmtId="1" fontId="3" fillId="0" borderId="0" xfId="0" applyNumberFormat="1" applyFont="1"/>
    <xf numFmtId="165" fontId="8" fillId="0" borderId="0" xfId="1" applyNumberFormat="1" applyFont="1"/>
    <xf numFmtId="0" fontId="8" fillId="0" borderId="5" xfId="0" applyFont="1" applyBorder="1" applyAlignment="1">
      <alignment horizontal="left" vertical="top" wrapText="1"/>
    </xf>
    <xf numFmtId="0" fontId="8" fillId="0" borderId="3" xfId="0" applyFont="1" applyBorder="1" applyAlignment="1">
      <alignment horizontal="left" vertical="top" wrapText="1"/>
    </xf>
    <xf numFmtId="0" fontId="8" fillId="0" borderId="4" xfId="0" applyFont="1" applyBorder="1" applyAlignment="1">
      <alignment horizontal="left" vertical="top" wrapText="1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10160</xdr:colOff>
      <xdr:row>81</xdr:row>
      <xdr:rowOff>0</xdr:rowOff>
    </xdr:from>
    <xdr:to>
      <xdr:col>14</xdr:col>
      <xdr:colOff>1351280</xdr:colOff>
      <xdr:row>98</xdr:row>
      <xdr:rowOff>124460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4B2B962-035B-0DFF-86DF-6D61417A799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0535" t="9618" r="13837" b="12423"/>
        <a:stretch/>
      </xdr:blipFill>
      <xdr:spPr bwMode="auto">
        <a:xfrm>
          <a:off x="10782935" y="19154775"/>
          <a:ext cx="5589270" cy="3734435"/>
        </a:xfrm>
        <a:prstGeom prst="rect">
          <a:avLst/>
        </a:prstGeom>
        <a:ln w="12700"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10</xdr:col>
      <xdr:colOff>0</xdr:colOff>
      <xdr:row>98</xdr:row>
      <xdr:rowOff>194310</xdr:rowOff>
    </xdr:from>
    <xdr:to>
      <xdr:col>14</xdr:col>
      <xdr:colOff>1363345</xdr:colOff>
      <xdr:row>111</xdr:row>
      <xdr:rowOff>22225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9AC4DF0-87A9-71A2-A893-A977DD3530C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20119" t="38969" r="13710" b="5528"/>
        <a:stretch/>
      </xdr:blipFill>
      <xdr:spPr bwMode="auto">
        <a:xfrm>
          <a:off x="10772775" y="22911435"/>
          <a:ext cx="5611495" cy="2647315"/>
        </a:xfrm>
        <a:prstGeom prst="rect">
          <a:avLst/>
        </a:prstGeom>
        <a:ln w="12700"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10160</xdr:colOff>
      <xdr:row>81</xdr:row>
      <xdr:rowOff>0</xdr:rowOff>
    </xdr:from>
    <xdr:to>
      <xdr:col>14</xdr:col>
      <xdr:colOff>1351280</xdr:colOff>
      <xdr:row>100</xdr:row>
      <xdr:rowOff>114935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6A5143C-17A6-48C1-96CA-6F8BB0A4E41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0535" t="9618" r="13837" b="12423"/>
        <a:stretch/>
      </xdr:blipFill>
      <xdr:spPr bwMode="auto">
        <a:xfrm>
          <a:off x="10782935" y="19602450"/>
          <a:ext cx="5589270" cy="3734435"/>
        </a:xfrm>
        <a:prstGeom prst="rect">
          <a:avLst/>
        </a:prstGeom>
        <a:ln w="12700"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10</xdr:col>
      <xdr:colOff>0</xdr:colOff>
      <xdr:row>98</xdr:row>
      <xdr:rowOff>194310</xdr:rowOff>
    </xdr:from>
    <xdr:to>
      <xdr:col>14</xdr:col>
      <xdr:colOff>1363345</xdr:colOff>
      <xdr:row>112</xdr:row>
      <xdr:rowOff>174625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D66876C-1CF0-45BA-A810-3442B3F335D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20119" t="38969" r="13710" b="5528"/>
        <a:stretch/>
      </xdr:blipFill>
      <xdr:spPr bwMode="auto">
        <a:xfrm>
          <a:off x="10772775" y="23406735"/>
          <a:ext cx="5611495" cy="2647315"/>
        </a:xfrm>
        <a:prstGeom prst="rect">
          <a:avLst/>
        </a:prstGeom>
        <a:ln w="12700">
          <a:solidFill>
            <a:schemeClr val="tx1"/>
          </a:solidFill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8008328-7A16-8FAD-52BA-B577279C36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20D6117-D204-0360-6E87-664E5642F2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173"/>
  <sheetViews>
    <sheetView workbookViewId="0">
      <pane xSplit="2" ySplit="6" topLeftCell="C13" activePane="bottomRight" state="frozen"/>
      <selection pane="topRight" activeCell="C1" sqref="C1"/>
      <selection pane="bottomLeft" activeCell="A7" sqref="A7"/>
      <selection pane="bottomRight" activeCell="N23" sqref="N23"/>
    </sheetView>
  </sheetViews>
  <sheetFormatPr defaultRowHeight="16.5" x14ac:dyDescent="0.3"/>
  <cols>
    <col min="1" max="1" width="9.140625" style="40"/>
    <col min="2" max="2" width="28.7109375" style="2" customWidth="1"/>
    <col min="3" max="3" width="14.140625" style="1" customWidth="1"/>
    <col min="4" max="4" width="13.85546875" style="1" bestFit="1" customWidth="1"/>
    <col min="5" max="5" width="17.5703125" style="1" bestFit="1" customWidth="1"/>
    <col min="6" max="7" width="13.85546875" style="7" bestFit="1" customWidth="1"/>
    <col min="8" max="8" width="15.28515625" style="7" bestFit="1" customWidth="1"/>
    <col min="9" max="9" width="20.42578125" style="7" bestFit="1" customWidth="1"/>
    <col min="10" max="10" width="14.7109375" style="1" bestFit="1" customWidth="1"/>
    <col min="11" max="11" width="21.42578125" style="7" customWidth="1"/>
    <col min="12" max="12" width="14.140625" style="1" customWidth="1"/>
    <col min="13" max="13" width="13.28515625" style="7" bestFit="1" customWidth="1"/>
    <col min="14" max="14" width="14.85546875" style="7" customWidth="1"/>
    <col min="15" max="15" width="21.140625" style="7" bestFit="1" customWidth="1"/>
    <col min="16" max="16" width="14.85546875" style="1" customWidth="1"/>
    <col min="17" max="17" width="16.7109375" style="1" bestFit="1" customWidth="1"/>
    <col min="18" max="18" width="10.28515625" style="1" bestFit="1" customWidth="1"/>
    <col min="19" max="19" width="10.85546875" style="1" bestFit="1" customWidth="1"/>
    <col min="20" max="23" width="9.140625" style="1"/>
    <col min="24" max="24" width="11" style="1" bestFit="1" customWidth="1"/>
    <col min="25" max="16384" width="9.140625" style="1"/>
  </cols>
  <sheetData>
    <row r="1" spans="1:19" x14ac:dyDescent="0.3">
      <c r="B1" s="13" t="s">
        <v>13</v>
      </c>
      <c r="H1" s="7" t="s">
        <v>38</v>
      </c>
      <c r="K1" s="7" t="s">
        <v>25</v>
      </c>
      <c r="O1" s="7" t="s">
        <v>33</v>
      </c>
      <c r="R1" s="7" t="s">
        <v>33</v>
      </c>
    </row>
    <row r="2" spans="1:19" x14ac:dyDescent="0.3">
      <c r="B2" s="107" t="s">
        <v>11</v>
      </c>
      <c r="C2" s="108">
        <v>9353</v>
      </c>
      <c r="D2" s="22" t="s">
        <v>44</v>
      </c>
      <c r="E2" s="4"/>
      <c r="F2" s="4"/>
      <c r="G2" s="25"/>
      <c r="H2" s="1" t="s">
        <v>39</v>
      </c>
      <c r="I2" s="64">
        <v>0</v>
      </c>
      <c r="J2" s="64">
        <f>C2</f>
        <v>9353</v>
      </c>
      <c r="K2" s="64">
        <v>1940</v>
      </c>
      <c r="L2" s="53">
        <f>J2*K2</f>
        <v>18144820</v>
      </c>
      <c r="O2" s="61" t="s">
        <v>35</v>
      </c>
      <c r="P2" s="62">
        <f>C33</f>
        <v>126525333</v>
      </c>
      <c r="R2" s="20">
        <f>P2*0.025/12</f>
        <v>263594.44375000003</v>
      </c>
      <c r="S2" s="18" t="s">
        <v>34</v>
      </c>
    </row>
    <row r="3" spans="1:19" x14ac:dyDescent="0.3">
      <c r="B3" s="109" t="s">
        <v>6</v>
      </c>
      <c r="C3" s="52">
        <v>9000</v>
      </c>
      <c r="D3" s="110"/>
      <c r="E3" s="26"/>
      <c r="F3" s="26"/>
      <c r="G3" s="15"/>
      <c r="H3" s="1" t="s">
        <v>40</v>
      </c>
      <c r="I3" s="64">
        <f>MROUND(I2/10.764,1)</f>
        <v>0</v>
      </c>
      <c r="J3" s="64"/>
      <c r="K3" s="53"/>
      <c r="L3" s="53">
        <f>N16</f>
        <v>39848333</v>
      </c>
      <c r="O3" s="61" t="s">
        <v>35</v>
      </c>
      <c r="P3" s="62">
        <f>C33</f>
        <v>126525333</v>
      </c>
      <c r="Q3" s="7"/>
      <c r="R3" s="20">
        <f>P3*0.04/12</f>
        <v>421751.11000000004</v>
      </c>
      <c r="S3" s="63" t="s">
        <v>36</v>
      </c>
    </row>
    <row r="4" spans="1:19" x14ac:dyDescent="0.3">
      <c r="B4" s="111" t="s">
        <v>18</v>
      </c>
      <c r="C4" s="108">
        <f>ROUND((C2*C3),0)</f>
        <v>84177000</v>
      </c>
      <c r="D4" s="22"/>
      <c r="F4" s="22"/>
      <c r="G4" s="22"/>
      <c r="I4" s="53"/>
      <c r="J4" s="64"/>
      <c r="K4" s="53"/>
      <c r="L4" s="53">
        <f>SUM(L2:L3)</f>
        <v>57993153</v>
      </c>
      <c r="O4" s="61" t="s">
        <v>35</v>
      </c>
      <c r="P4" s="62">
        <f>C33</f>
        <v>126525333</v>
      </c>
      <c r="Q4" s="7"/>
      <c r="R4" s="20">
        <f>P4*0.033/12</f>
        <v>347944.66574999999</v>
      </c>
      <c r="S4" s="18" t="s">
        <v>37</v>
      </c>
    </row>
    <row r="5" spans="1:19" x14ac:dyDescent="0.3">
      <c r="B5" s="13" t="s">
        <v>14</v>
      </c>
    </row>
    <row r="6" spans="1:19" s="3" customFormat="1" ht="60" x14ac:dyDescent="0.2">
      <c r="A6" s="41" t="s">
        <v>23</v>
      </c>
      <c r="B6" s="4" t="s">
        <v>27</v>
      </c>
      <c r="C6" s="4" t="s">
        <v>30</v>
      </c>
      <c r="D6" s="4" t="s">
        <v>0</v>
      </c>
      <c r="E6" s="4" t="s">
        <v>1</v>
      </c>
      <c r="F6" s="4" t="s">
        <v>2</v>
      </c>
      <c r="G6" s="42" t="s">
        <v>5</v>
      </c>
      <c r="H6" s="5" t="s">
        <v>29</v>
      </c>
      <c r="I6" s="5" t="s">
        <v>28</v>
      </c>
      <c r="J6" s="8" t="s">
        <v>3</v>
      </c>
      <c r="K6" s="8" t="s">
        <v>4</v>
      </c>
      <c r="L6" s="5" t="s">
        <v>16</v>
      </c>
      <c r="M6" s="43" t="s">
        <v>26</v>
      </c>
      <c r="N6" s="5" t="s">
        <v>17</v>
      </c>
      <c r="O6" s="5" t="s">
        <v>42</v>
      </c>
    </row>
    <row r="7" spans="1:19" s="3" customFormat="1" ht="15.75" thickBot="1" x14ac:dyDescent="0.25">
      <c r="A7" s="41"/>
      <c r="B7" s="4"/>
      <c r="C7" s="5" t="s">
        <v>43</v>
      </c>
      <c r="D7" s="4"/>
      <c r="E7" s="4"/>
      <c r="F7" s="4"/>
      <c r="G7" s="42" t="s">
        <v>31</v>
      </c>
      <c r="H7" s="5"/>
      <c r="I7" s="5"/>
      <c r="J7" s="8"/>
      <c r="K7" s="8"/>
      <c r="L7" s="8" t="s">
        <v>32</v>
      </c>
      <c r="M7" s="8" t="s">
        <v>32</v>
      </c>
      <c r="N7" s="8" t="s">
        <v>32</v>
      </c>
      <c r="O7" s="8" t="s">
        <v>32</v>
      </c>
    </row>
    <row r="8" spans="1:19" s="11" customFormat="1" ht="17.25" thickBot="1" x14ac:dyDescent="0.3">
      <c r="A8" s="49">
        <v>1</v>
      </c>
      <c r="B8" s="104" t="s">
        <v>54</v>
      </c>
      <c r="C8" s="105">
        <v>32136</v>
      </c>
      <c r="D8" s="50">
        <v>2001</v>
      </c>
      <c r="E8" s="50">
        <v>2023</v>
      </c>
      <c r="F8" s="97">
        <v>50</v>
      </c>
      <c r="G8" s="54">
        <v>1800</v>
      </c>
      <c r="H8" s="55">
        <f t="shared" ref="H8" si="0">E8-D8</f>
        <v>22</v>
      </c>
      <c r="I8" s="55">
        <f t="shared" ref="I8" si="1">F8-H8</f>
        <v>28</v>
      </c>
      <c r="J8" s="55">
        <f t="shared" ref="J8" si="2">IF(H8&gt;=5,90*H8/F8,0)</f>
        <v>39.6</v>
      </c>
      <c r="K8" s="55">
        <f t="shared" ref="K8" si="3">G8/100*J8</f>
        <v>712.80000000000007</v>
      </c>
      <c r="L8" s="55">
        <f t="shared" ref="L8" si="4">ROUND((G8-K8),0)</f>
        <v>1087</v>
      </c>
      <c r="M8" s="55">
        <f t="shared" ref="M8" si="5">O8-N8</f>
        <v>22912968</v>
      </c>
      <c r="N8" s="55">
        <f t="shared" ref="N8" si="6">ROUND((L8*C8),0)</f>
        <v>34931832</v>
      </c>
      <c r="O8" s="55">
        <f t="shared" ref="O8" si="7">ROUND((C8*G8),0)</f>
        <v>57844800</v>
      </c>
    </row>
    <row r="9" spans="1:19" s="11" customFormat="1" ht="17.25" thickBot="1" x14ac:dyDescent="0.3">
      <c r="A9" s="51">
        <v>2</v>
      </c>
      <c r="B9" s="106" t="s">
        <v>55</v>
      </c>
      <c r="C9" s="112">
        <v>4523</v>
      </c>
      <c r="D9" s="50">
        <v>2001</v>
      </c>
      <c r="E9" s="50">
        <v>2023</v>
      </c>
      <c r="F9" s="97">
        <v>50</v>
      </c>
      <c r="G9" s="54">
        <v>1800</v>
      </c>
      <c r="H9" s="55">
        <f t="shared" ref="H9:H11" si="8">E9-D9</f>
        <v>22</v>
      </c>
      <c r="I9" s="55">
        <f t="shared" ref="I9:I15" si="9">F9-H9</f>
        <v>28</v>
      </c>
      <c r="J9" s="55">
        <f t="shared" ref="J9:J11" si="10">IF(H9&gt;=5,90*H9/F9,0)</f>
        <v>39.6</v>
      </c>
      <c r="K9" s="55">
        <f t="shared" ref="K9:K11" si="11">G9/100*J9</f>
        <v>712.80000000000007</v>
      </c>
      <c r="L9" s="55">
        <f t="shared" ref="L9:L11" si="12">ROUND((G9-K9),0)</f>
        <v>1087</v>
      </c>
      <c r="M9" s="55">
        <f t="shared" ref="M9:M11" si="13">O9-N9</f>
        <v>3224899</v>
      </c>
      <c r="N9" s="55">
        <f t="shared" ref="N9:N11" si="14">ROUND((L9*C9),0)</f>
        <v>4916501</v>
      </c>
      <c r="O9" s="55">
        <f t="shared" ref="O9:O11" si="15">ROUND((C9*G9),0)</f>
        <v>8141400</v>
      </c>
    </row>
    <row r="10" spans="1:19" s="11" customFormat="1" ht="17.25" customHeight="1" x14ac:dyDescent="0.25">
      <c r="A10" s="49">
        <v>3</v>
      </c>
      <c r="B10" s="46"/>
      <c r="C10" s="44">
        <v>0</v>
      </c>
      <c r="D10" s="50">
        <v>0</v>
      </c>
      <c r="E10" s="50">
        <v>0</v>
      </c>
      <c r="F10" s="50">
        <v>60</v>
      </c>
      <c r="G10" s="54">
        <v>0</v>
      </c>
      <c r="H10" s="55">
        <f t="shared" si="8"/>
        <v>0</v>
      </c>
      <c r="I10" s="55">
        <f t="shared" si="9"/>
        <v>60</v>
      </c>
      <c r="J10" s="55">
        <f t="shared" si="10"/>
        <v>0</v>
      </c>
      <c r="K10" s="55">
        <f t="shared" si="11"/>
        <v>0</v>
      </c>
      <c r="L10" s="55">
        <f t="shared" si="12"/>
        <v>0</v>
      </c>
      <c r="M10" s="55">
        <f t="shared" si="13"/>
        <v>0</v>
      </c>
      <c r="N10" s="55">
        <f t="shared" si="14"/>
        <v>0</v>
      </c>
      <c r="O10" s="55">
        <f t="shared" si="15"/>
        <v>0</v>
      </c>
    </row>
    <row r="11" spans="1:19" s="11" customFormat="1" x14ac:dyDescent="0.25">
      <c r="A11" s="51">
        <v>4</v>
      </c>
      <c r="B11" s="46"/>
      <c r="C11" s="44">
        <v>0</v>
      </c>
      <c r="D11" s="50">
        <v>0</v>
      </c>
      <c r="E11" s="50">
        <v>0</v>
      </c>
      <c r="F11" s="50">
        <v>60</v>
      </c>
      <c r="G11" s="54">
        <v>0</v>
      </c>
      <c r="H11" s="55">
        <f t="shared" si="8"/>
        <v>0</v>
      </c>
      <c r="I11" s="55">
        <f t="shared" si="9"/>
        <v>60</v>
      </c>
      <c r="J11" s="55">
        <f t="shared" si="10"/>
        <v>0</v>
      </c>
      <c r="K11" s="55">
        <f t="shared" si="11"/>
        <v>0</v>
      </c>
      <c r="L11" s="55">
        <f t="shared" si="12"/>
        <v>0</v>
      </c>
      <c r="M11" s="55">
        <f t="shared" si="13"/>
        <v>0</v>
      </c>
      <c r="N11" s="55">
        <f t="shared" si="14"/>
        <v>0</v>
      </c>
      <c r="O11" s="55">
        <f t="shared" si="15"/>
        <v>0</v>
      </c>
    </row>
    <row r="12" spans="1:19" s="11" customFormat="1" x14ac:dyDescent="0.25">
      <c r="A12" s="49">
        <v>5</v>
      </c>
      <c r="B12" s="46"/>
      <c r="C12" s="44">
        <v>0</v>
      </c>
      <c r="D12" s="50">
        <v>0</v>
      </c>
      <c r="E12" s="50">
        <v>0</v>
      </c>
      <c r="F12" s="50">
        <v>60</v>
      </c>
      <c r="G12" s="54">
        <v>0</v>
      </c>
      <c r="H12" s="55">
        <f t="shared" ref="H12:H15" si="16">E12-D12</f>
        <v>0</v>
      </c>
      <c r="I12" s="55">
        <f t="shared" si="9"/>
        <v>60</v>
      </c>
      <c r="J12" s="55">
        <f t="shared" ref="J12:J15" si="17">IF(H12&gt;=5,90*H12/F12,0)</f>
        <v>0</v>
      </c>
      <c r="K12" s="55">
        <f t="shared" ref="K12:K15" si="18">G12/100*J12</f>
        <v>0</v>
      </c>
      <c r="L12" s="55">
        <f t="shared" ref="L12:L15" si="19">ROUND((G12-K12),0)</f>
        <v>0</v>
      </c>
      <c r="M12" s="55">
        <f t="shared" ref="M12:M15" si="20">O12-N12</f>
        <v>0</v>
      </c>
      <c r="N12" s="55">
        <f t="shared" ref="N12:N15" si="21">ROUND((L12*C12),0)</f>
        <v>0</v>
      </c>
      <c r="O12" s="55">
        <f t="shared" ref="O12:O15" si="22">ROUND((C12*G12),0)</f>
        <v>0</v>
      </c>
    </row>
    <row r="13" spans="1:19" x14ac:dyDescent="0.3">
      <c r="A13" s="45">
        <v>6</v>
      </c>
      <c r="B13" s="46"/>
      <c r="C13" s="44">
        <v>0</v>
      </c>
      <c r="D13" s="33">
        <v>0</v>
      </c>
      <c r="E13" s="33">
        <v>0</v>
      </c>
      <c r="F13" s="33">
        <v>60</v>
      </c>
      <c r="G13" s="56">
        <v>0</v>
      </c>
      <c r="H13" s="55">
        <f t="shared" si="16"/>
        <v>0</v>
      </c>
      <c r="I13" s="55">
        <f t="shared" si="9"/>
        <v>60</v>
      </c>
      <c r="J13" s="55">
        <f t="shared" si="17"/>
        <v>0</v>
      </c>
      <c r="K13" s="55">
        <f t="shared" si="18"/>
        <v>0</v>
      </c>
      <c r="L13" s="55">
        <f t="shared" si="19"/>
        <v>0</v>
      </c>
      <c r="M13" s="57">
        <f t="shared" si="20"/>
        <v>0</v>
      </c>
      <c r="N13" s="55">
        <f t="shared" si="21"/>
        <v>0</v>
      </c>
      <c r="O13" s="55">
        <f t="shared" si="22"/>
        <v>0</v>
      </c>
    </row>
    <row r="14" spans="1:19" x14ac:dyDescent="0.3">
      <c r="A14" s="24">
        <v>7</v>
      </c>
      <c r="B14" s="46"/>
      <c r="C14" s="44">
        <v>0</v>
      </c>
      <c r="D14" s="33">
        <v>0</v>
      </c>
      <c r="E14" s="33">
        <v>0</v>
      </c>
      <c r="F14" s="33">
        <v>60</v>
      </c>
      <c r="G14" s="56">
        <v>0</v>
      </c>
      <c r="H14" s="55">
        <f t="shared" si="16"/>
        <v>0</v>
      </c>
      <c r="I14" s="55">
        <f t="shared" si="9"/>
        <v>60</v>
      </c>
      <c r="J14" s="55">
        <f t="shared" si="17"/>
        <v>0</v>
      </c>
      <c r="K14" s="55">
        <f t="shared" si="18"/>
        <v>0</v>
      </c>
      <c r="L14" s="55">
        <f t="shared" si="19"/>
        <v>0</v>
      </c>
      <c r="M14" s="57">
        <f t="shared" si="20"/>
        <v>0</v>
      </c>
      <c r="N14" s="55">
        <f t="shared" si="21"/>
        <v>0</v>
      </c>
      <c r="O14" s="55">
        <f t="shared" si="22"/>
        <v>0</v>
      </c>
    </row>
    <row r="15" spans="1:19" x14ac:dyDescent="0.3">
      <c r="A15" s="45">
        <v>8</v>
      </c>
      <c r="B15" s="46"/>
      <c r="C15" s="44">
        <v>0</v>
      </c>
      <c r="D15" s="33">
        <v>0</v>
      </c>
      <c r="E15" s="33">
        <v>0</v>
      </c>
      <c r="F15" s="33">
        <v>60</v>
      </c>
      <c r="G15" s="56">
        <v>0</v>
      </c>
      <c r="H15" s="55">
        <f t="shared" si="16"/>
        <v>0</v>
      </c>
      <c r="I15" s="55">
        <f t="shared" si="9"/>
        <v>60</v>
      </c>
      <c r="J15" s="55">
        <f t="shared" si="17"/>
        <v>0</v>
      </c>
      <c r="K15" s="55">
        <f t="shared" si="18"/>
        <v>0</v>
      </c>
      <c r="L15" s="55">
        <f t="shared" si="19"/>
        <v>0</v>
      </c>
      <c r="M15" s="57">
        <f t="shared" si="20"/>
        <v>0</v>
      </c>
      <c r="N15" s="55">
        <f t="shared" si="21"/>
        <v>0</v>
      </c>
      <c r="O15" s="55">
        <f t="shared" si="22"/>
        <v>0</v>
      </c>
    </row>
    <row r="16" spans="1:19" x14ac:dyDescent="0.3">
      <c r="A16" s="24"/>
      <c r="B16" s="47"/>
      <c r="C16" s="98">
        <f>SUM(C8:C15)</f>
        <v>36659</v>
      </c>
      <c r="D16" s="48"/>
      <c r="E16" s="48"/>
      <c r="F16" s="6"/>
      <c r="G16" s="55"/>
      <c r="H16" s="55"/>
      <c r="I16" s="55"/>
      <c r="J16" s="58"/>
      <c r="K16" s="55"/>
      <c r="L16" s="58"/>
      <c r="M16" s="55">
        <f>SUM(M8:M15)</f>
        <v>26137867</v>
      </c>
      <c r="N16" s="55">
        <f>SUM(N8:N15)</f>
        <v>39848333</v>
      </c>
      <c r="O16" s="55">
        <f>SUM(O8:O15)</f>
        <v>65986200</v>
      </c>
    </row>
    <row r="17" spans="1:15" x14ac:dyDescent="0.3">
      <c r="B17" s="10"/>
      <c r="C17" s="11"/>
      <c r="D17" s="11"/>
      <c r="E17" s="11"/>
      <c r="F17" s="12"/>
      <c r="G17" s="12"/>
      <c r="H17" s="12"/>
      <c r="I17" s="12"/>
      <c r="J17" s="11"/>
      <c r="K17" s="16"/>
      <c r="L17" s="17"/>
      <c r="M17" s="12"/>
      <c r="N17" s="27"/>
      <c r="O17" s="27"/>
    </row>
    <row r="18" spans="1:15" x14ac:dyDescent="0.3">
      <c r="B18" s="119" t="s">
        <v>20</v>
      </c>
      <c r="C18" s="119"/>
      <c r="D18" s="11"/>
      <c r="E18" s="11"/>
      <c r="F18" s="12"/>
      <c r="G18" s="12"/>
      <c r="H18" s="12"/>
      <c r="I18" s="12"/>
      <c r="J18" s="11"/>
      <c r="K18" s="16"/>
      <c r="L18" s="17"/>
      <c r="M18" s="12"/>
      <c r="N18" s="27"/>
      <c r="O18" s="27"/>
    </row>
    <row r="19" spans="1:15" x14ac:dyDescent="0.3">
      <c r="B19" s="23" t="s">
        <v>19</v>
      </c>
      <c r="C19" s="59">
        <v>0</v>
      </c>
      <c r="D19" s="11"/>
      <c r="E19" s="11"/>
      <c r="F19" s="12"/>
      <c r="G19" s="12"/>
      <c r="H19" s="12"/>
      <c r="I19" s="12"/>
      <c r="J19" s="11"/>
      <c r="K19" s="16"/>
      <c r="L19" s="17"/>
      <c r="M19" s="12"/>
      <c r="N19" s="27"/>
      <c r="O19" s="27"/>
    </row>
    <row r="20" spans="1:15" x14ac:dyDescent="0.3">
      <c r="B20" s="24" t="s">
        <v>6</v>
      </c>
      <c r="C20" s="52">
        <v>0</v>
      </c>
      <c r="D20" s="11"/>
      <c r="E20" s="11"/>
      <c r="F20" s="12"/>
      <c r="G20" s="12"/>
      <c r="H20" s="12"/>
      <c r="I20" s="12"/>
      <c r="J20" s="11"/>
      <c r="K20" s="16"/>
      <c r="L20" s="17"/>
      <c r="M20" s="12"/>
      <c r="N20" s="27"/>
      <c r="O20" s="27"/>
    </row>
    <row r="21" spans="1:15" x14ac:dyDescent="0.3">
      <c r="B21" s="24" t="s">
        <v>7</v>
      </c>
      <c r="C21" s="57">
        <f>ROUND((C19*C20),0)</f>
        <v>0</v>
      </c>
      <c r="D21" s="11"/>
      <c r="E21" s="11"/>
      <c r="F21" s="12"/>
      <c r="G21" s="12"/>
      <c r="H21" s="12"/>
      <c r="I21" s="12"/>
      <c r="J21" s="11"/>
      <c r="K21" s="16"/>
      <c r="L21" s="17"/>
      <c r="M21" s="12"/>
      <c r="N21" s="27"/>
      <c r="O21" s="27"/>
    </row>
    <row r="22" spans="1:15" x14ac:dyDescent="0.3">
      <c r="B22" s="10"/>
      <c r="C22" s="11"/>
      <c r="D22" s="11"/>
      <c r="E22" s="11"/>
      <c r="F22" s="12"/>
      <c r="G22" s="12"/>
      <c r="H22" s="12"/>
      <c r="I22" s="12"/>
      <c r="J22" s="11"/>
      <c r="K22" s="16"/>
      <c r="L22" s="17"/>
      <c r="M22" s="12"/>
      <c r="N22" s="27"/>
      <c r="O22" s="27"/>
    </row>
    <row r="23" spans="1:15" ht="22.5" customHeight="1" x14ac:dyDescent="0.3">
      <c r="B23" s="120" t="s">
        <v>15</v>
      </c>
      <c r="C23" s="121"/>
      <c r="D23" s="11"/>
      <c r="E23" s="11"/>
      <c r="F23" s="12"/>
      <c r="G23" s="12"/>
      <c r="H23" s="12"/>
      <c r="I23" s="12"/>
      <c r="J23" s="11"/>
      <c r="K23" s="12"/>
      <c r="L23" s="11"/>
      <c r="M23" s="12"/>
      <c r="N23" s="12"/>
      <c r="O23" s="12"/>
    </row>
    <row r="24" spans="1:15" x14ac:dyDescent="0.3">
      <c r="B24" s="23" t="s">
        <v>11</v>
      </c>
      <c r="C24" s="59">
        <v>1</v>
      </c>
      <c r="E24" s="28"/>
      <c r="F24" s="28"/>
      <c r="G24" s="29"/>
      <c r="H24" s="14"/>
      <c r="I24" s="14"/>
      <c r="L24" s="21"/>
    </row>
    <row r="25" spans="1:15" x14ac:dyDescent="0.3">
      <c r="B25" s="24" t="s">
        <v>6</v>
      </c>
      <c r="C25" s="52">
        <v>2500000</v>
      </c>
      <c r="D25" s="30"/>
      <c r="E25" s="22"/>
      <c r="F25" s="22"/>
      <c r="G25" s="16"/>
      <c r="H25" s="14"/>
      <c r="I25" s="14"/>
      <c r="L25" s="22" t="s">
        <v>51</v>
      </c>
      <c r="M25" s="22"/>
    </row>
    <row r="26" spans="1:15" x14ac:dyDescent="0.3">
      <c r="B26" s="24" t="s">
        <v>7</v>
      </c>
      <c r="C26" s="57">
        <f>ROUND((C24*C25),0)</f>
        <v>2500000</v>
      </c>
      <c r="D26" s="9"/>
      <c r="E26" s="9"/>
      <c r="F26" s="21"/>
      <c r="H26" s="14"/>
      <c r="I26" s="66" t="s">
        <v>49</v>
      </c>
      <c r="J26" s="22" t="s">
        <v>45</v>
      </c>
      <c r="K26" s="65" t="s">
        <v>46</v>
      </c>
      <c r="L26" s="69">
        <v>2000</v>
      </c>
      <c r="M26" s="65" t="s">
        <v>47</v>
      </c>
      <c r="N26" s="22" t="s">
        <v>37</v>
      </c>
    </row>
    <row r="27" spans="1:15" x14ac:dyDescent="0.3">
      <c r="B27" s="40"/>
      <c r="C27" s="19"/>
      <c r="D27" s="9"/>
      <c r="E27" s="9"/>
      <c r="F27" s="21"/>
      <c r="H27" s="14"/>
      <c r="I27" s="66" t="s">
        <v>49</v>
      </c>
      <c r="J27" s="1" t="s">
        <v>48</v>
      </c>
      <c r="K27" s="65" t="s">
        <v>50</v>
      </c>
      <c r="L27" s="69">
        <v>9800</v>
      </c>
      <c r="M27" s="65" t="s">
        <v>47</v>
      </c>
      <c r="N27" s="22" t="s">
        <v>37</v>
      </c>
    </row>
    <row r="28" spans="1:15" x14ac:dyDescent="0.3">
      <c r="C28" s="9" t="s">
        <v>22</v>
      </c>
      <c r="D28" s="9"/>
      <c r="E28" s="9"/>
      <c r="F28" s="21"/>
      <c r="H28" s="14"/>
      <c r="I28" s="14"/>
      <c r="L28" s="70">
        <f>SUM(L26:L27)</f>
        <v>11800</v>
      </c>
      <c r="M28" s="22"/>
    </row>
    <row r="29" spans="1:15" x14ac:dyDescent="0.3">
      <c r="B29" s="2" t="s">
        <v>13</v>
      </c>
      <c r="C29" s="53">
        <f>C4</f>
        <v>84177000</v>
      </c>
      <c r="D29" s="19"/>
      <c r="E29" s="19"/>
      <c r="F29" s="19"/>
      <c r="G29" s="19"/>
      <c r="H29" s="20"/>
      <c r="I29" s="20"/>
      <c r="L29" s="67"/>
      <c r="M29" s="22"/>
    </row>
    <row r="30" spans="1:15" ht="33" x14ac:dyDescent="0.3">
      <c r="B30" s="2" t="s">
        <v>14</v>
      </c>
      <c r="C30" s="53">
        <f>N16</f>
        <v>39848333</v>
      </c>
      <c r="D30" s="19"/>
      <c r="E30" s="19"/>
      <c r="F30" s="19"/>
      <c r="G30" s="19"/>
      <c r="H30" s="20"/>
      <c r="I30" s="20"/>
      <c r="L30" s="68" t="s">
        <v>52</v>
      </c>
      <c r="M30" s="22"/>
    </row>
    <row r="31" spans="1:15" ht="90" x14ac:dyDescent="0.3">
      <c r="B31" s="2" t="s">
        <v>21</v>
      </c>
      <c r="C31" s="53">
        <f>C21</f>
        <v>0</v>
      </c>
      <c r="D31" s="19"/>
      <c r="E31" s="19"/>
      <c r="F31" s="19"/>
      <c r="G31" s="19"/>
      <c r="H31" s="20"/>
      <c r="I31" s="20"/>
      <c r="J31" s="72" t="s">
        <v>65</v>
      </c>
      <c r="L31" s="67">
        <v>9353</v>
      </c>
      <c r="M31" s="65" t="s">
        <v>47</v>
      </c>
      <c r="N31" s="22" t="s">
        <v>53</v>
      </c>
    </row>
    <row r="32" spans="1:15" x14ac:dyDescent="0.3">
      <c r="A32" s="1"/>
      <c r="B32" s="2" t="s">
        <v>12</v>
      </c>
      <c r="C32" s="53">
        <f>C26</f>
        <v>2500000</v>
      </c>
      <c r="D32" s="19"/>
      <c r="E32" s="19"/>
      <c r="F32" s="19"/>
      <c r="G32" s="19"/>
      <c r="H32" s="20"/>
      <c r="I32" s="20"/>
      <c r="L32" s="20"/>
    </row>
    <row r="33" spans="1:18" x14ac:dyDescent="0.3">
      <c r="A33" s="1"/>
      <c r="B33" s="13" t="s">
        <v>8</v>
      </c>
      <c r="C33" s="60">
        <f>C29+C30+C31+C32</f>
        <v>126525333</v>
      </c>
      <c r="D33" s="18"/>
      <c r="F33" s="18"/>
      <c r="K33" s="22" t="s">
        <v>54</v>
      </c>
      <c r="L33" s="96">
        <v>2985.51</v>
      </c>
      <c r="M33" s="65" t="s">
        <v>47</v>
      </c>
      <c r="N33" s="22" t="s">
        <v>53</v>
      </c>
      <c r="O33" s="22" t="s">
        <v>56</v>
      </c>
      <c r="P33" s="96">
        <f>MROUND(L33*10.764,1)</f>
        <v>32136</v>
      </c>
    </row>
    <row r="34" spans="1:18" x14ac:dyDescent="0.3">
      <c r="A34" s="1"/>
      <c r="B34" s="13" t="s">
        <v>9</v>
      </c>
      <c r="C34" s="60">
        <f>MROUND(C33*85%,1)</f>
        <v>107546533</v>
      </c>
      <c r="D34" s="20"/>
      <c r="F34" s="18"/>
      <c r="H34" s="34"/>
      <c r="I34" s="34"/>
      <c r="K34" s="22" t="s">
        <v>55</v>
      </c>
      <c r="L34" s="96">
        <v>420.21</v>
      </c>
      <c r="M34" s="65" t="s">
        <v>47</v>
      </c>
      <c r="N34" s="22" t="s">
        <v>53</v>
      </c>
      <c r="O34" s="22" t="s">
        <v>57</v>
      </c>
      <c r="P34" s="96">
        <f>MROUND(L34*10.764,1)</f>
        <v>4523</v>
      </c>
    </row>
    <row r="35" spans="1:18" x14ac:dyDescent="0.3">
      <c r="A35" s="1"/>
      <c r="B35" s="13" t="s">
        <v>10</v>
      </c>
      <c r="C35" s="60">
        <f>MROUND(C33*70%,1)</f>
        <v>88567733</v>
      </c>
      <c r="D35" s="20"/>
      <c r="F35" s="18"/>
      <c r="H35" s="34"/>
      <c r="I35" s="34"/>
      <c r="L35" s="96">
        <f>SUM(L33:L34)</f>
        <v>3405.7200000000003</v>
      </c>
      <c r="P35" s="96">
        <f>SUM(P33:P34)</f>
        <v>36659</v>
      </c>
    </row>
    <row r="36" spans="1:18" x14ac:dyDescent="0.3">
      <c r="A36" s="1"/>
      <c r="B36" s="2" t="s">
        <v>24</v>
      </c>
      <c r="C36" s="53">
        <f>O16</f>
        <v>65986200</v>
      </c>
      <c r="D36" s="31"/>
      <c r="O36" s="35"/>
    </row>
    <row r="37" spans="1:18" ht="33" x14ac:dyDescent="0.3">
      <c r="A37" s="1"/>
      <c r="B37" s="13" t="s">
        <v>41</v>
      </c>
      <c r="C37" s="118">
        <f>MROUND(C36*0.85,1)</f>
        <v>56088270</v>
      </c>
      <c r="L37" s="2" t="s">
        <v>58</v>
      </c>
      <c r="O37" s="35"/>
    </row>
    <row r="38" spans="1:18" x14ac:dyDescent="0.3">
      <c r="A38" s="1"/>
      <c r="K38" s="22" t="s">
        <v>63</v>
      </c>
      <c r="L38" s="22">
        <v>5774.55</v>
      </c>
      <c r="M38" s="65" t="s">
        <v>47</v>
      </c>
      <c r="O38" s="35" t="s">
        <v>66</v>
      </c>
      <c r="P38" s="1" t="s">
        <v>67</v>
      </c>
      <c r="R38" s="1" t="s">
        <v>71</v>
      </c>
    </row>
    <row r="39" spans="1:18" x14ac:dyDescent="0.3">
      <c r="A39" s="1"/>
      <c r="K39" s="22" t="s">
        <v>64</v>
      </c>
      <c r="L39" s="22">
        <v>2887.27</v>
      </c>
      <c r="M39" s="65" t="s">
        <v>47</v>
      </c>
      <c r="O39" s="35">
        <v>7</v>
      </c>
      <c r="P39" s="1">
        <v>5774.55</v>
      </c>
      <c r="R39" s="1" t="s">
        <v>72</v>
      </c>
    </row>
    <row r="40" spans="1:18" x14ac:dyDescent="0.3">
      <c r="A40" s="1"/>
      <c r="K40" s="22" t="s">
        <v>59</v>
      </c>
      <c r="L40" s="22"/>
      <c r="M40" s="65"/>
      <c r="O40" s="35"/>
    </row>
    <row r="41" spans="1:18" x14ac:dyDescent="0.3">
      <c r="A41" s="1"/>
      <c r="H41" s="34"/>
      <c r="I41" s="34"/>
      <c r="K41" s="22" t="s">
        <v>60</v>
      </c>
      <c r="L41" s="71">
        <v>1522.34</v>
      </c>
      <c r="M41" s="65" t="s">
        <v>47</v>
      </c>
      <c r="O41" s="35">
        <v>11</v>
      </c>
      <c r="P41" s="1">
        <v>2669</v>
      </c>
    </row>
    <row r="42" spans="1:18" x14ac:dyDescent="0.3">
      <c r="A42" s="1"/>
      <c r="K42" s="22" t="s">
        <v>61</v>
      </c>
      <c r="L42" s="71">
        <v>129.65</v>
      </c>
      <c r="M42" s="65" t="s">
        <v>47</v>
      </c>
      <c r="O42" s="35"/>
    </row>
    <row r="43" spans="1:18" x14ac:dyDescent="0.3">
      <c r="A43" s="1"/>
      <c r="K43" s="22" t="s">
        <v>62</v>
      </c>
      <c r="L43" s="71">
        <v>1464.28</v>
      </c>
      <c r="M43" s="65" t="s">
        <v>47</v>
      </c>
      <c r="O43" s="71">
        <v>3</v>
      </c>
      <c r="P43" s="31">
        <v>934</v>
      </c>
      <c r="Q43" s="1" t="s">
        <v>68</v>
      </c>
    </row>
    <row r="44" spans="1:18" x14ac:dyDescent="0.3">
      <c r="A44" s="1"/>
      <c r="K44" s="22"/>
      <c r="L44" s="71">
        <f>SUM(L41:L43)</f>
        <v>3116.27</v>
      </c>
      <c r="M44" s="65" t="s">
        <v>47</v>
      </c>
      <c r="O44" s="71">
        <v>6</v>
      </c>
      <c r="P44" s="31">
        <v>601.6</v>
      </c>
      <c r="Q44" s="1" t="s">
        <v>68</v>
      </c>
    </row>
    <row r="45" spans="1:18" x14ac:dyDescent="0.3">
      <c r="A45" s="1"/>
      <c r="L45" s="36"/>
      <c r="O45" s="71">
        <v>9</v>
      </c>
      <c r="P45" s="31">
        <v>660.8</v>
      </c>
      <c r="Q45" s="1" t="s">
        <v>68</v>
      </c>
    </row>
    <row r="46" spans="1:18" x14ac:dyDescent="0.3">
      <c r="A46" s="1"/>
      <c r="O46" s="22">
        <v>13</v>
      </c>
      <c r="P46" s="31">
        <v>1202.3</v>
      </c>
      <c r="Q46" s="1" t="s">
        <v>68</v>
      </c>
    </row>
    <row r="47" spans="1:18" ht="33" x14ac:dyDescent="0.3">
      <c r="A47" s="1"/>
      <c r="L47" s="2" t="s">
        <v>73</v>
      </c>
      <c r="O47" s="22">
        <v>15</v>
      </c>
      <c r="P47" s="31">
        <v>1560</v>
      </c>
      <c r="Q47" s="1" t="s">
        <v>69</v>
      </c>
    </row>
    <row r="48" spans="1:18" x14ac:dyDescent="0.3">
      <c r="A48" s="1"/>
      <c r="B48" s="1"/>
      <c r="O48" s="22">
        <v>14</v>
      </c>
      <c r="P48" s="31">
        <v>215</v>
      </c>
      <c r="Q48" s="1" t="s">
        <v>69</v>
      </c>
    </row>
    <row r="49" spans="1:17" x14ac:dyDescent="0.3">
      <c r="A49" s="1"/>
      <c r="B49" s="1"/>
      <c r="O49" s="22">
        <v>2</v>
      </c>
      <c r="P49" s="31">
        <v>467</v>
      </c>
      <c r="Q49" s="1" t="s">
        <v>70</v>
      </c>
    </row>
    <row r="50" spans="1:17" x14ac:dyDescent="0.3">
      <c r="A50" s="1"/>
      <c r="B50" s="1"/>
      <c r="O50" s="22">
        <v>5</v>
      </c>
      <c r="P50" s="31">
        <v>300.8</v>
      </c>
      <c r="Q50" s="1" t="s">
        <v>70</v>
      </c>
    </row>
    <row r="51" spans="1:17" x14ac:dyDescent="0.3">
      <c r="A51" s="1"/>
      <c r="B51" s="1"/>
      <c r="O51" s="22">
        <v>12</v>
      </c>
      <c r="P51" s="31">
        <v>601.15</v>
      </c>
      <c r="Q51" s="1" t="s">
        <v>70</v>
      </c>
    </row>
    <row r="52" spans="1:17" x14ac:dyDescent="0.3">
      <c r="A52" s="1"/>
      <c r="B52" s="1"/>
      <c r="O52" s="22">
        <v>10</v>
      </c>
      <c r="P52" s="31">
        <v>330.4</v>
      </c>
      <c r="Q52" s="1" t="s">
        <v>70</v>
      </c>
    </row>
    <row r="53" spans="1:17" x14ac:dyDescent="0.3">
      <c r="A53" s="1"/>
      <c r="B53" s="1"/>
      <c r="P53" s="31"/>
    </row>
    <row r="54" spans="1:17" x14ac:dyDescent="0.3">
      <c r="A54" s="1"/>
      <c r="B54" s="1"/>
      <c r="O54" s="22">
        <v>1</v>
      </c>
      <c r="P54" s="31">
        <v>7939</v>
      </c>
    </row>
    <row r="55" spans="1:17" x14ac:dyDescent="0.3">
      <c r="A55" s="1"/>
      <c r="B55" s="1"/>
      <c r="O55" s="22">
        <v>4</v>
      </c>
      <c r="P55" s="31">
        <v>5113.6000000000004</v>
      </c>
    </row>
    <row r="56" spans="1:17" x14ac:dyDescent="0.3">
      <c r="A56" s="1"/>
      <c r="B56" s="1"/>
      <c r="O56" s="22">
        <v>7</v>
      </c>
      <c r="P56" s="31">
        <v>5774.55</v>
      </c>
    </row>
    <row r="57" spans="1:17" x14ac:dyDescent="0.3">
      <c r="A57" s="1"/>
      <c r="B57" s="1"/>
      <c r="F57" s="37"/>
      <c r="G57" s="37"/>
      <c r="H57" s="37"/>
      <c r="I57" s="37"/>
      <c r="J57" s="13"/>
      <c r="M57" s="7">
        <v>5774.55</v>
      </c>
      <c r="N57" s="7">
        <v>1</v>
      </c>
      <c r="O57" s="22">
        <v>8</v>
      </c>
      <c r="P57" s="31">
        <v>5616.8</v>
      </c>
    </row>
    <row r="58" spans="1:17" x14ac:dyDescent="0.3">
      <c r="A58" s="1"/>
      <c r="B58" s="1"/>
      <c r="F58" s="35"/>
      <c r="G58" s="1"/>
      <c r="H58" s="35"/>
      <c r="I58" s="35"/>
      <c r="M58" s="7">
        <f>M57*N58/N57</f>
        <v>2425.3110000000001</v>
      </c>
      <c r="N58" s="7">
        <v>0.42</v>
      </c>
      <c r="O58" s="22">
        <v>11</v>
      </c>
      <c r="P58" s="31">
        <v>2669</v>
      </c>
      <c r="Q58" s="61">
        <f>SUM(P54:P58)</f>
        <v>27112.95</v>
      </c>
    </row>
    <row r="59" spans="1:17" ht="49.5" x14ac:dyDescent="0.3">
      <c r="A59" s="1"/>
      <c r="B59" s="1"/>
      <c r="F59" s="35" t="s">
        <v>91</v>
      </c>
      <c r="I59" s="35" t="s">
        <v>92</v>
      </c>
      <c r="J59" s="35" t="s">
        <v>93</v>
      </c>
      <c r="P59" s="61">
        <f>SUM(P43:P58)</f>
        <v>33986</v>
      </c>
    </row>
    <row r="60" spans="1:17" x14ac:dyDescent="0.3">
      <c r="A60" s="1"/>
      <c r="B60" s="1"/>
      <c r="F60" s="35">
        <v>27.89</v>
      </c>
      <c r="G60" s="35">
        <v>48.75</v>
      </c>
      <c r="H60" s="94">
        <f>F60*G60</f>
        <v>1359.6375</v>
      </c>
      <c r="I60" s="35"/>
    </row>
    <row r="61" spans="1:17" x14ac:dyDescent="0.3">
      <c r="A61" s="1"/>
      <c r="B61" s="1"/>
      <c r="F61" s="35">
        <v>27.89</v>
      </c>
      <c r="G61" s="38">
        <v>5</v>
      </c>
      <c r="H61" s="94">
        <f>F61*G61</f>
        <v>139.44999999999999</v>
      </c>
      <c r="I61" s="95">
        <f>SUM(H60:H61)</f>
        <v>1499.0875000000001</v>
      </c>
      <c r="J61" s="96">
        <f t="shared" ref="J61:J63" si="23">MROUND(I61*10.764,1)</f>
        <v>16136</v>
      </c>
      <c r="M61" s="7">
        <v>1522.34</v>
      </c>
    </row>
    <row r="62" spans="1:17" x14ac:dyDescent="0.3">
      <c r="A62" s="1"/>
      <c r="B62" s="1"/>
      <c r="F62" s="35">
        <v>11.08</v>
      </c>
      <c r="G62" s="35">
        <v>25</v>
      </c>
      <c r="H62" s="94">
        <f>F62*G62</f>
        <v>277</v>
      </c>
      <c r="I62" s="95">
        <v>1499.09</v>
      </c>
      <c r="J62" s="96">
        <f t="shared" si="23"/>
        <v>16136</v>
      </c>
      <c r="M62" s="7">
        <v>129.65</v>
      </c>
    </row>
    <row r="63" spans="1:17" x14ac:dyDescent="0.3">
      <c r="A63" s="1"/>
      <c r="B63" s="1"/>
      <c r="F63" s="35">
        <v>15</v>
      </c>
      <c r="G63" s="35">
        <v>14</v>
      </c>
      <c r="H63" s="94">
        <f>F63*G63</f>
        <v>210</v>
      </c>
      <c r="I63" s="95">
        <f>H62+H63</f>
        <v>487</v>
      </c>
      <c r="J63" s="96">
        <f t="shared" si="23"/>
        <v>5242</v>
      </c>
      <c r="M63" s="7">
        <v>1464.28</v>
      </c>
      <c r="N63" s="7">
        <f>M61+M63</f>
        <v>2986.62</v>
      </c>
    </row>
    <row r="64" spans="1:17" x14ac:dyDescent="0.3">
      <c r="A64" s="1"/>
      <c r="B64" s="1"/>
      <c r="F64" s="35"/>
      <c r="G64" s="35"/>
      <c r="H64" s="35"/>
      <c r="I64" s="95">
        <f>SUM(I61:I63)</f>
        <v>3485.1774999999998</v>
      </c>
      <c r="J64" s="96">
        <f>MROUND(I64*10.764,1)</f>
        <v>37514</v>
      </c>
      <c r="M64" s="7">
        <f>SUM(M61:M63)</f>
        <v>3116.27</v>
      </c>
    </row>
    <row r="65" spans="1:14" x14ac:dyDescent="0.3">
      <c r="A65" s="1"/>
      <c r="B65" s="1"/>
      <c r="F65" s="35"/>
      <c r="G65" s="35"/>
      <c r="H65" s="35"/>
      <c r="I65" s="35"/>
    </row>
    <row r="66" spans="1:14" x14ac:dyDescent="0.3">
      <c r="A66" s="1"/>
      <c r="B66" s="1"/>
      <c r="F66" s="35" t="s">
        <v>55</v>
      </c>
      <c r="G66" s="35"/>
      <c r="H66" s="35"/>
      <c r="I66" s="35"/>
      <c r="N66" s="7">
        <f>M57-N63</f>
        <v>2787.9300000000003</v>
      </c>
    </row>
    <row r="67" spans="1:14" x14ac:dyDescent="0.3">
      <c r="A67" s="1"/>
      <c r="B67" s="1"/>
      <c r="F67" s="22" t="s">
        <v>60</v>
      </c>
      <c r="G67" s="22"/>
      <c r="H67" s="22"/>
      <c r="I67" s="35"/>
    </row>
    <row r="68" spans="1:14" x14ac:dyDescent="0.3">
      <c r="A68" s="1"/>
      <c r="B68" s="1"/>
      <c r="F68" s="71">
        <v>20.3</v>
      </c>
      <c r="G68" s="71">
        <v>15.26</v>
      </c>
      <c r="H68" s="71">
        <f>F68*G68</f>
        <v>309.77800000000002</v>
      </c>
    </row>
    <row r="69" spans="1:14" x14ac:dyDescent="0.3">
      <c r="A69" s="1"/>
      <c r="B69" s="1"/>
      <c r="F69" s="22">
        <v>5.67</v>
      </c>
      <c r="G69" s="22">
        <v>11.59</v>
      </c>
      <c r="H69" s="71">
        <f t="shared" ref="H69:H80" si="24">F69*G69</f>
        <v>65.715299999999999</v>
      </c>
    </row>
    <row r="70" spans="1:14" x14ac:dyDescent="0.3">
      <c r="A70" s="1"/>
      <c r="B70" s="1"/>
      <c r="F70" s="22">
        <v>15.07</v>
      </c>
      <c r="G70" s="22">
        <v>22</v>
      </c>
      <c r="H70" s="71">
        <f t="shared" si="24"/>
        <v>331.54</v>
      </c>
    </row>
    <row r="71" spans="1:14" x14ac:dyDescent="0.3">
      <c r="A71" s="1"/>
      <c r="B71" s="1"/>
      <c r="F71" s="22">
        <v>8.8000000000000007</v>
      </c>
      <c r="G71" s="22">
        <v>2.48</v>
      </c>
      <c r="H71" s="71">
        <f t="shared" si="24"/>
        <v>21.824000000000002</v>
      </c>
      <c r="K71" s="22" t="s">
        <v>84</v>
      </c>
    </row>
    <row r="72" spans="1:14" x14ac:dyDescent="0.3">
      <c r="A72" s="1"/>
      <c r="B72" s="1"/>
      <c r="F72" s="22">
        <v>23</v>
      </c>
      <c r="G72" s="22">
        <v>19.07</v>
      </c>
      <c r="H72" s="71">
        <f t="shared" si="24"/>
        <v>438.61</v>
      </c>
      <c r="K72" s="22" t="s">
        <v>74</v>
      </c>
      <c r="L72" s="22">
        <v>9586</v>
      </c>
    </row>
    <row r="73" spans="1:14" x14ac:dyDescent="0.3">
      <c r="A73" s="1"/>
      <c r="B73" s="1"/>
      <c r="F73" s="22">
        <v>6.71</v>
      </c>
      <c r="G73" s="22">
        <v>4.99</v>
      </c>
      <c r="H73" s="71">
        <f t="shared" si="24"/>
        <v>33.482900000000001</v>
      </c>
      <c r="K73" s="22" t="s">
        <v>75</v>
      </c>
      <c r="L73" s="22">
        <v>6775</v>
      </c>
    </row>
    <row r="74" spans="1:14" x14ac:dyDescent="0.3">
      <c r="A74" s="1"/>
      <c r="B74" s="1"/>
      <c r="F74" s="71">
        <v>9.85</v>
      </c>
      <c r="G74" s="22">
        <v>14.9</v>
      </c>
      <c r="H74" s="71">
        <f t="shared" si="24"/>
        <v>146.76499999999999</v>
      </c>
      <c r="K74" s="22" t="s">
        <v>76</v>
      </c>
      <c r="L74" s="22">
        <v>1725</v>
      </c>
    </row>
    <row r="75" spans="1:14" x14ac:dyDescent="0.3">
      <c r="A75" s="1"/>
      <c r="B75" s="1"/>
      <c r="F75" s="71">
        <v>9.09</v>
      </c>
      <c r="G75" s="22">
        <v>2</v>
      </c>
      <c r="H75" s="71">
        <f t="shared" si="24"/>
        <v>18.18</v>
      </c>
      <c r="K75" s="22" t="s">
        <v>77</v>
      </c>
      <c r="L75" s="22">
        <v>2000</v>
      </c>
    </row>
    <row r="76" spans="1:14" x14ac:dyDescent="0.3">
      <c r="A76" s="1"/>
      <c r="B76" s="1"/>
      <c r="F76" s="71">
        <v>10.48</v>
      </c>
      <c r="G76" s="22">
        <v>10.36</v>
      </c>
      <c r="H76" s="71">
        <f t="shared" si="24"/>
        <v>108.5728</v>
      </c>
      <c r="K76" s="22" t="s">
        <v>78</v>
      </c>
      <c r="L76" s="22">
        <v>1800</v>
      </c>
    </row>
    <row r="77" spans="1:14" x14ac:dyDescent="0.3">
      <c r="A77" s="1"/>
      <c r="B77" s="1"/>
      <c r="F77" s="71">
        <v>4.53</v>
      </c>
      <c r="G77" s="22">
        <v>10.48</v>
      </c>
      <c r="H77" s="71">
        <f t="shared" si="24"/>
        <v>47.474400000000003</v>
      </c>
      <c r="K77" s="22" t="s">
        <v>79</v>
      </c>
      <c r="L77" s="22">
        <v>2300</v>
      </c>
    </row>
    <row r="78" spans="1:14" x14ac:dyDescent="0.3">
      <c r="A78" s="1"/>
      <c r="B78" s="1"/>
      <c r="F78" s="71">
        <v>17.62</v>
      </c>
      <c r="G78" s="22">
        <v>26.74</v>
      </c>
      <c r="H78" s="71">
        <f t="shared" si="24"/>
        <v>471.15879999999999</v>
      </c>
      <c r="K78" s="22" t="s">
        <v>80</v>
      </c>
      <c r="L78" s="22">
        <v>9800</v>
      </c>
    </row>
    <row r="79" spans="1:14" x14ac:dyDescent="0.3">
      <c r="A79" s="1"/>
      <c r="B79" s="1"/>
      <c r="F79" s="71">
        <v>10</v>
      </c>
      <c r="G79" s="22">
        <v>6</v>
      </c>
      <c r="H79" s="71">
        <f t="shared" si="24"/>
        <v>60</v>
      </c>
      <c r="K79" s="22"/>
      <c r="L79" s="73">
        <f>SUM(L72:L78)</f>
        <v>33986</v>
      </c>
    </row>
    <row r="80" spans="1:14" x14ac:dyDescent="0.3">
      <c r="A80" s="1"/>
      <c r="B80" s="1"/>
      <c r="F80" s="22">
        <v>11.63</v>
      </c>
      <c r="G80" s="22">
        <v>29.46</v>
      </c>
      <c r="H80" s="22">
        <f t="shared" si="24"/>
        <v>342.61980000000005</v>
      </c>
    </row>
    <row r="81" spans="1:24" x14ac:dyDescent="0.3">
      <c r="A81" s="1"/>
      <c r="B81" s="1"/>
      <c r="F81" s="71"/>
      <c r="G81" s="22"/>
      <c r="H81" s="22">
        <f>SUM(H68:H80)</f>
        <v>2395.721</v>
      </c>
    </row>
    <row r="82" spans="1:24" x14ac:dyDescent="0.3">
      <c r="A82" s="1"/>
      <c r="B82" s="1"/>
    </row>
    <row r="83" spans="1:24" x14ac:dyDescent="0.3">
      <c r="A83" s="1"/>
      <c r="B83" s="1"/>
      <c r="F83" s="39" t="s">
        <v>62</v>
      </c>
    </row>
    <row r="84" spans="1:24" x14ac:dyDescent="0.3">
      <c r="A84" s="1"/>
      <c r="B84" s="1"/>
      <c r="F84" s="22">
        <v>9.91</v>
      </c>
      <c r="G84" s="22">
        <v>23.35</v>
      </c>
      <c r="H84" s="22">
        <f>F84*G84</f>
        <v>231.39850000000001</v>
      </c>
    </row>
    <row r="85" spans="1:24" x14ac:dyDescent="0.3">
      <c r="A85" s="1"/>
      <c r="B85" s="1"/>
      <c r="F85" s="22">
        <v>3.23</v>
      </c>
      <c r="G85" s="22">
        <v>4.8499999999999996</v>
      </c>
      <c r="H85" s="22">
        <f t="shared" ref="H85:H101" si="25">F85*G85</f>
        <v>15.665499999999998</v>
      </c>
    </row>
    <row r="86" spans="1:24" x14ac:dyDescent="0.3">
      <c r="A86" s="1"/>
      <c r="B86" s="1"/>
      <c r="F86" s="22">
        <v>14.58</v>
      </c>
      <c r="G86" s="22">
        <v>12.37</v>
      </c>
      <c r="H86" s="22">
        <f t="shared" si="25"/>
        <v>180.35459999999998</v>
      </c>
    </row>
    <row r="87" spans="1:24" x14ac:dyDescent="0.3">
      <c r="A87" s="1"/>
      <c r="B87" s="1"/>
      <c r="F87" s="22">
        <v>11.13</v>
      </c>
      <c r="G87" s="22">
        <v>10</v>
      </c>
      <c r="H87" s="22">
        <f t="shared" si="25"/>
        <v>111.30000000000001</v>
      </c>
    </row>
    <row r="88" spans="1:24" x14ac:dyDescent="0.3">
      <c r="A88" s="1"/>
      <c r="B88" s="1"/>
      <c r="F88" s="22">
        <v>8</v>
      </c>
      <c r="G88" s="22">
        <v>4</v>
      </c>
      <c r="H88" s="22">
        <f t="shared" si="25"/>
        <v>32</v>
      </c>
    </row>
    <row r="89" spans="1:24" x14ac:dyDescent="0.3">
      <c r="A89" s="1"/>
      <c r="B89" s="1"/>
      <c r="F89" s="22">
        <v>12.35</v>
      </c>
      <c r="G89" s="22">
        <v>15</v>
      </c>
      <c r="H89" s="22">
        <f t="shared" si="25"/>
        <v>185.25</v>
      </c>
    </row>
    <row r="90" spans="1:24" x14ac:dyDescent="0.3">
      <c r="A90" s="1"/>
      <c r="B90" s="1"/>
      <c r="F90" s="22">
        <v>5.27</v>
      </c>
      <c r="G90" s="22">
        <v>9.7100000000000009</v>
      </c>
      <c r="H90" s="22">
        <f t="shared" si="25"/>
        <v>51.171700000000001</v>
      </c>
    </row>
    <row r="91" spans="1:24" x14ac:dyDescent="0.3">
      <c r="A91" s="1"/>
      <c r="B91" s="1"/>
      <c r="F91" s="22">
        <v>14</v>
      </c>
      <c r="G91" s="22">
        <v>10</v>
      </c>
      <c r="H91" s="22">
        <f t="shared" si="25"/>
        <v>140</v>
      </c>
    </row>
    <row r="92" spans="1:24" x14ac:dyDescent="0.3">
      <c r="A92" s="1"/>
      <c r="B92" s="1"/>
      <c r="F92" s="22">
        <v>8</v>
      </c>
      <c r="G92" s="22">
        <v>4</v>
      </c>
      <c r="H92" s="22">
        <f t="shared" si="25"/>
        <v>32</v>
      </c>
    </row>
    <row r="93" spans="1:24" x14ac:dyDescent="0.3">
      <c r="A93" s="1"/>
      <c r="B93" s="1"/>
      <c r="F93" s="22">
        <v>9.85</v>
      </c>
      <c r="G93" s="22">
        <v>14.9</v>
      </c>
      <c r="H93" s="22">
        <f t="shared" si="25"/>
        <v>146.76499999999999</v>
      </c>
      <c r="Q93" s="35"/>
    </row>
    <row r="94" spans="1:24" ht="17.25" thickBot="1" x14ac:dyDescent="0.35">
      <c r="A94" s="1"/>
      <c r="B94" s="1"/>
      <c r="F94" s="22">
        <v>4</v>
      </c>
      <c r="G94" s="22">
        <v>8</v>
      </c>
      <c r="H94" s="22">
        <f t="shared" si="25"/>
        <v>32</v>
      </c>
      <c r="Q94" s="35"/>
      <c r="R94" s="74"/>
      <c r="V94" s="75">
        <v>1</v>
      </c>
      <c r="W94" s="76">
        <v>7939</v>
      </c>
      <c r="X94" s="77"/>
    </row>
    <row r="95" spans="1:24" ht="17.25" thickBot="1" x14ac:dyDescent="0.35">
      <c r="A95" s="1"/>
      <c r="B95" s="1"/>
      <c r="F95" s="22">
        <v>11</v>
      </c>
      <c r="G95" s="22">
        <v>14</v>
      </c>
      <c r="H95" s="22">
        <f t="shared" si="25"/>
        <v>154</v>
      </c>
      <c r="Q95" s="35"/>
      <c r="V95" s="75">
        <v>2</v>
      </c>
      <c r="W95" s="78">
        <v>467</v>
      </c>
      <c r="X95" s="79" t="s">
        <v>85</v>
      </c>
    </row>
    <row r="96" spans="1:24" ht="17.25" thickBot="1" x14ac:dyDescent="0.35">
      <c r="A96" s="1"/>
      <c r="B96" s="1"/>
      <c r="F96" s="22">
        <v>5</v>
      </c>
      <c r="G96" s="22">
        <v>8</v>
      </c>
      <c r="H96" s="22">
        <f t="shared" si="25"/>
        <v>40</v>
      </c>
      <c r="Q96" s="35"/>
      <c r="R96" s="74"/>
      <c r="V96" s="75">
        <v>3</v>
      </c>
      <c r="W96" s="78">
        <v>934</v>
      </c>
      <c r="X96" s="79" t="s">
        <v>86</v>
      </c>
    </row>
    <row r="97" spans="1:24" ht="17.25" thickBot="1" x14ac:dyDescent="0.35">
      <c r="A97" s="1"/>
      <c r="B97" s="1"/>
      <c r="F97" s="22">
        <v>10</v>
      </c>
      <c r="G97" s="22">
        <v>12</v>
      </c>
      <c r="H97" s="22">
        <f t="shared" si="25"/>
        <v>120</v>
      </c>
      <c r="Q97" s="35"/>
      <c r="V97" s="75">
        <v>4</v>
      </c>
      <c r="W97" s="76">
        <v>5113.6000000000004</v>
      </c>
      <c r="X97" s="77"/>
    </row>
    <row r="98" spans="1:24" ht="17.25" thickBot="1" x14ac:dyDescent="0.35">
      <c r="A98" s="1"/>
      <c r="B98" s="1"/>
      <c r="F98" s="22">
        <v>4</v>
      </c>
      <c r="G98" s="22">
        <v>9</v>
      </c>
      <c r="H98" s="22">
        <f t="shared" si="25"/>
        <v>36</v>
      </c>
      <c r="Q98" s="71"/>
      <c r="R98" s="74"/>
      <c r="V98" s="75">
        <v>5</v>
      </c>
      <c r="W98" s="78">
        <v>300.8</v>
      </c>
      <c r="X98" s="79" t="s">
        <v>85</v>
      </c>
    </row>
    <row r="99" spans="1:24" ht="17.25" thickBot="1" x14ac:dyDescent="0.35">
      <c r="A99" s="1"/>
      <c r="B99" s="1"/>
      <c r="F99" s="22">
        <v>11</v>
      </c>
      <c r="G99" s="22">
        <v>13</v>
      </c>
      <c r="H99" s="22">
        <f t="shared" si="25"/>
        <v>143</v>
      </c>
      <c r="Q99" s="71"/>
      <c r="R99" s="74"/>
      <c r="V99" s="75">
        <v>6</v>
      </c>
      <c r="W99" s="78">
        <v>601.6</v>
      </c>
      <c r="X99" s="79" t="s">
        <v>86</v>
      </c>
    </row>
    <row r="100" spans="1:24" ht="17.25" thickBot="1" x14ac:dyDescent="0.35">
      <c r="A100" s="1"/>
      <c r="B100" s="1"/>
      <c r="F100" s="22">
        <v>4</v>
      </c>
      <c r="G100" s="22">
        <v>8</v>
      </c>
      <c r="H100" s="22">
        <f t="shared" si="25"/>
        <v>32</v>
      </c>
      <c r="Q100" s="71"/>
      <c r="R100" s="74"/>
      <c r="V100" s="75">
        <v>7</v>
      </c>
      <c r="W100" s="76">
        <v>5774.55</v>
      </c>
      <c r="X100" s="77"/>
    </row>
    <row r="101" spans="1:24" ht="17.25" thickBot="1" x14ac:dyDescent="0.35">
      <c r="A101" s="1"/>
      <c r="B101" s="1"/>
      <c r="F101" s="22">
        <v>11.63</v>
      </c>
      <c r="G101" s="22">
        <v>29.46</v>
      </c>
      <c r="H101" s="22">
        <f t="shared" si="25"/>
        <v>342.61980000000005</v>
      </c>
      <c r="Q101" s="22"/>
      <c r="R101" s="74"/>
      <c r="V101" s="75">
        <v>8</v>
      </c>
      <c r="W101" s="76">
        <v>5616.8</v>
      </c>
      <c r="X101" s="77"/>
    </row>
    <row r="102" spans="1:24" ht="17.25" thickBot="1" x14ac:dyDescent="0.35">
      <c r="A102" s="1"/>
      <c r="B102" s="1"/>
      <c r="F102" s="22"/>
      <c r="G102" s="22"/>
      <c r="H102" s="22">
        <f>SUM(H84:H101)</f>
        <v>2025.5250999999998</v>
      </c>
      <c r="Q102" s="22"/>
      <c r="R102" s="74"/>
      <c r="V102" s="75">
        <v>9</v>
      </c>
      <c r="W102" s="78">
        <v>660.8</v>
      </c>
      <c r="X102" s="79" t="s">
        <v>86</v>
      </c>
    </row>
    <row r="103" spans="1:24" ht="17.25" thickBot="1" x14ac:dyDescent="0.35">
      <c r="A103" s="1"/>
      <c r="B103" s="1"/>
      <c r="Q103" s="22"/>
      <c r="R103" s="74"/>
      <c r="V103" s="75">
        <v>10</v>
      </c>
      <c r="W103" s="78">
        <v>330.4</v>
      </c>
      <c r="X103" s="79" t="s">
        <v>85</v>
      </c>
    </row>
    <row r="104" spans="1:24" ht="17.25" thickBot="1" x14ac:dyDescent="0.35">
      <c r="A104" s="1"/>
      <c r="B104" s="1"/>
      <c r="Q104" s="22"/>
      <c r="R104" s="74"/>
      <c r="V104" s="75">
        <v>11</v>
      </c>
      <c r="W104" s="76">
        <v>2669</v>
      </c>
      <c r="X104" s="77"/>
    </row>
    <row r="105" spans="1:24" ht="17.25" thickBot="1" x14ac:dyDescent="0.35">
      <c r="A105" s="1"/>
      <c r="B105" s="1"/>
      <c r="Q105" s="22"/>
      <c r="R105" s="74"/>
      <c r="V105" s="75">
        <v>12</v>
      </c>
      <c r="W105" s="78">
        <v>601.15</v>
      </c>
      <c r="X105" s="79" t="s">
        <v>85</v>
      </c>
    </row>
    <row r="106" spans="1:24" ht="17.25" thickBot="1" x14ac:dyDescent="0.35">
      <c r="A106" s="1"/>
      <c r="B106" s="1"/>
      <c r="Q106" s="22"/>
      <c r="R106" s="74"/>
      <c r="V106" s="75">
        <v>13</v>
      </c>
      <c r="W106" s="76">
        <v>1202.3</v>
      </c>
      <c r="X106" s="79" t="s">
        <v>86</v>
      </c>
    </row>
    <row r="107" spans="1:24" ht="17.25" thickBot="1" x14ac:dyDescent="0.35">
      <c r="A107" s="1"/>
      <c r="B107" s="1"/>
      <c r="Q107" s="22"/>
      <c r="R107" s="74"/>
      <c r="V107" s="75">
        <v>14</v>
      </c>
      <c r="W107" s="78">
        <v>215</v>
      </c>
      <c r="X107" s="79" t="s">
        <v>87</v>
      </c>
    </row>
    <row r="108" spans="1:24" ht="17.25" thickBot="1" x14ac:dyDescent="0.35">
      <c r="A108" s="1"/>
      <c r="B108" s="1"/>
      <c r="Q108" s="7"/>
      <c r="V108" s="75">
        <v>15</v>
      </c>
      <c r="W108" s="76">
        <v>1560</v>
      </c>
      <c r="X108" s="79" t="s">
        <v>87</v>
      </c>
    </row>
    <row r="109" spans="1:24" x14ac:dyDescent="0.3">
      <c r="A109" s="1"/>
      <c r="B109" s="1"/>
      <c r="Q109" s="22"/>
      <c r="R109" s="74"/>
      <c r="W109" s="18">
        <f>SUM(W94:W108)</f>
        <v>33986</v>
      </c>
    </row>
    <row r="110" spans="1:24" x14ac:dyDescent="0.3">
      <c r="A110" s="1"/>
      <c r="B110" s="1"/>
      <c r="Q110" s="22"/>
      <c r="R110" s="74"/>
    </row>
    <row r="111" spans="1:24" x14ac:dyDescent="0.3">
      <c r="A111" s="1"/>
      <c r="B111" s="1"/>
      <c r="Q111" s="22"/>
      <c r="R111" s="74"/>
    </row>
    <row r="112" spans="1:24" x14ac:dyDescent="0.3">
      <c r="A112" s="1"/>
      <c r="B112" s="1"/>
      <c r="Q112" s="22"/>
      <c r="R112" s="74"/>
      <c r="W112" s="18"/>
    </row>
    <row r="113" spans="1:19" x14ac:dyDescent="0.3">
      <c r="A113" s="1"/>
      <c r="B113" s="1"/>
    </row>
    <row r="114" spans="1:19" ht="17.25" thickBot="1" x14ac:dyDescent="0.35">
      <c r="A114" s="1"/>
      <c r="B114" s="1"/>
      <c r="N114" s="22"/>
      <c r="O114" s="73" t="s">
        <v>88</v>
      </c>
      <c r="P114" s="22"/>
      <c r="Q114" s="22"/>
      <c r="R114" s="22" t="s">
        <v>89</v>
      </c>
      <c r="S114" s="22"/>
    </row>
    <row r="115" spans="1:19" ht="17.25" thickBot="1" x14ac:dyDescent="0.35">
      <c r="A115" s="1"/>
      <c r="B115" s="1"/>
      <c r="K115" s="22" t="s">
        <v>81</v>
      </c>
      <c r="N115" s="80" t="s">
        <v>90</v>
      </c>
      <c r="O115" s="22" t="s">
        <v>47</v>
      </c>
      <c r="P115" s="22"/>
      <c r="Q115" s="22"/>
      <c r="R115" s="22"/>
      <c r="S115" s="22"/>
    </row>
    <row r="116" spans="1:19" ht="17.25" thickBot="1" x14ac:dyDescent="0.35">
      <c r="A116" s="1"/>
      <c r="B116" s="1"/>
      <c r="K116" s="22">
        <v>9586</v>
      </c>
      <c r="N116" s="81">
        <v>7</v>
      </c>
      <c r="O116" s="82">
        <v>6178</v>
      </c>
      <c r="P116" s="22"/>
      <c r="Q116" s="22"/>
      <c r="R116" s="81">
        <v>7</v>
      </c>
      <c r="S116" s="83">
        <v>5774.55</v>
      </c>
    </row>
    <row r="117" spans="1:19" ht="17.25" thickBot="1" x14ac:dyDescent="0.35">
      <c r="A117" s="1"/>
      <c r="B117" s="1"/>
      <c r="K117" s="22"/>
      <c r="N117" s="81">
        <v>12</v>
      </c>
      <c r="O117" s="84">
        <v>554</v>
      </c>
      <c r="P117" s="22"/>
      <c r="Q117" s="22"/>
      <c r="R117" s="81">
        <v>12</v>
      </c>
      <c r="S117" s="85">
        <v>601.15</v>
      </c>
    </row>
    <row r="118" spans="1:19" ht="17.25" thickBot="1" x14ac:dyDescent="0.35">
      <c r="A118" s="1"/>
      <c r="B118" s="1"/>
      <c r="K118" s="22" t="s">
        <v>82</v>
      </c>
      <c r="N118" s="81">
        <v>13</v>
      </c>
      <c r="O118" s="82">
        <v>1197</v>
      </c>
      <c r="P118" s="22"/>
      <c r="Q118" s="22"/>
      <c r="R118" s="81">
        <v>13</v>
      </c>
      <c r="S118" s="83">
        <v>1202.3</v>
      </c>
    </row>
    <row r="119" spans="1:19" ht="17.25" thickBot="1" x14ac:dyDescent="0.35">
      <c r="A119" s="1"/>
      <c r="B119" s="1"/>
      <c r="K119" s="22">
        <v>9353</v>
      </c>
      <c r="N119" s="81">
        <v>14</v>
      </c>
      <c r="O119" s="84">
        <v>215</v>
      </c>
      <c r="P119" s="22"/>
      <c r="Q119" s="22"/>
      <c r="R119" s="81">
        <v>14</v>
      </c>
      <c r="S119" s="86">
        <v>215</v>
      </c>
    </row>
    <row r="120" spans="1:19" ht="17.25" thickBot="1" x14ac:dyDescent="0.35">
      <c r="A120" s="1"/>
      <c r="B120" s="1"/>
      <c r="K120" s="22"/>
      <c r="N120" s="81">
        <v>15</v>
      </c>
      <c r="O120" s="82">
        <v>1560</v>
      </c>
      <c r="P120" s="22"/>
      <c r="Q120" s="22"/>
      <c r="R120" s="81">
        <v>15</v>
      </c>
      <c r="S120" s="83">
        <v>1560</v>
      </c>
    </row>
    <row r="121" spans="1:19" x14ac:dyDescent="0.3">
      <c r="A121" s="1"/>
      <c r="B121" s="1"/>
      <c r="K121" s="65" t="s">
        <v>83</v>
      </c>
      <c r="N121" s="22"/>
      <c r="O121" s="67">
        <f>SUM(O116:O120)</f>
        <v>9704</v>
      </c>
      <c r="P121" s="22"/>
      <c r="Q121" s="67"/>
      <c r="R121" s="22"/>
      <c r="S121" s="67">
        <f>SUM(S116:S120)</f>
        <v>9353</v>
      </c>
    </row>
    <row r="122" spans="1:19" x14ac:dyDescent="0.3">
      <c r="A122" s="1"/>
      <c r="B122" s="1"/>
      <c r="K122" s="22">
        <f>K116-K119</f>
        <v>233</v>
      </c>
    </row>
    <row r="123" spans="1:19" ht="17.25" thickBot="1" x14ac:dyDescent="0.35">
      <c r="A123" s="1"/>
      <c r="B123" s="1"/>
    </row>
    <row r="124" spans="1:19" ht="17.25" thickBot="1" x14ac:dyDescent="0.35">
      <c r="A124" s="1"/>
      <c r="B124" s="1"/>
      <c r="K124" s="113">
        <v>2985.51</v>
      </c>
      <c r="L124" s="116">
        <f>K124*10.764</f>
        <v>32136.029640000001</v>
      </c>
      <c r="M124" s="7">
        <v>32136</v>
      </c>
    </row>
    <row r="125" spans="1:19" ht="17.25" thickBot="1" x14ac:dyDescent="0.35">
      <c r="A125" s="1"/>
      <c r="B125" s="1"/>
      <c r="K125" s="114">
        <v>420.21</v>
      </c>
      <c r="L125" s="116">
        <f t="shared" ref="L125:L126" si="26">K125*10.764</f>
        <v>4523.1404399999992</v>
      </c>
      <c r="M125" s="7">
        <v>4523.1000000000004</v>
      </c>
    </row>
    <row r="126" spans="1:19" ht="17.25" thickBot="1" x14ac:dyDescent="0.35">
      <c r="A126" s="1"/>
      <c r="B126" s="1"/>
      <c r="K126" s="115">
        <v>3405.72</v>
      </c>
      <c r="L126" s="116">
        <f t="shared" si="26"/>
        <v>36659.170079999996</v>
      </c>
      <c r="M126" s="7">
        <f>SUM(M124:M125)</f>
        <v>36659.1</v>
      </c>
    </row>
    <row r="127" spans="1:19" x14ac:dyDescent="0.3">
      <c r="A127" s="1"/>
      <c r="B127" s="1"/>
    </row>
    <row r="128" spans="1:19" x14ac:dyDescent="0.3">
      <c r="A128" s="1"/>
      <c r="B128" s="1"/>
    </row>
    <row r="129" spans="1:11" x14ac:dyDescent="0.3">
      <c r="A129" s="1"/>
      <c r="B129" s="1"/>
    </row>
    <row r="130" spans="1:11" x14ac:dyDescent="0.3">
      <c r="A130" s="1"/>
      <c r="B130" s="1"/>
    </row>
    <row r="131" spans="1:11" x14ac:dyDescent="0.3">
      <c r="A131" s="1"/>
      <c r="B131" s="1"/>
    </row>
    <row r="132" spans="1:11" x14ac:dyDescent="0.3">
      <c r="A132" s="1"/>
      <c r="B132" s="1"/>
      <c r="K132" s="7">
        <v>2464</v>
      </c>
    </row>
    <row r="133" spans="1:11" x14ac:dyDescent="0.3">
      <c r="A133" s="1"/>
      <c r="B133" s="1"/>
      <c r="K133" s="117">
        <f>2026*1.2</f>
        <v>2431.1999999999998</v>
      </c>
    </row>
    <row r="134" spans="1:11" x14ac:dyDescent="0.3">
      <c r="A134" s="1"/>
      <c r="B134" s="1"/>
      <c r="K134" s="7">
        <f>SUM(K132:K133)</f>
        <v>4895.2</v>
      </c>
    </row>
    <row r="135" spans="1:11" x14ac:dyDescent="0.3">
      <c r="A135" s="1"/>
      <c r="B135" s="1"/>
    </row>
    <row r="136" spans="1:11" x14ac:dyDescent="0.3">
      <c r="A136" s="1"/>
      <c r="B136" s="1"/>
    </row>
    <row r="137" spans="1:11" x14ac:dyDescent="0.3">
      <c r="A137" s="1"/>
      <c r="B137" s="1"/>
    </row>
    <row r="138" spans="1:11" x14ac:dyDescent="0.3">
      <c r="A138" s="1"/>
      <c r="B138" s="1"/>
    </row>
    <row r="139" spans="1:11" x14ac:dyDescent="0.3">
      <c r="A139" s="1"/>
      <c r="B139" s="1"/>
    </row>
    <row r="140" spans="1:11" x14ac:dyDescent="0.3">
      <c r="A140" s="1"/>
      <c r="B140" s="1"/>
    </row>
    <row r="141" spans="1:11" x14ac:dyDescent="0.3">
      <c r="A141" s="1"/>
      <c r="B141" s="1"/>
    </row>
    <row r="142" spans="1:11" x14ac:dyDescent="0.3">
      <c r="A142" s="1"/>
      <c r="B142" s="1"/>
    </row>
    <row r="143" spans="1:11" x14ac:dyDescent="0.3">
      <c r="A143" s="1"/>
      <c r="B143" s="1"/>
    </row>
    <row r="144" spans="1:11" x14ac:dyDescent="0.3">
      <c r="A144" s="1"/>
      <c r="B144" s="1"/>
    </row>
    <row r="145" spans="1:11" ht="17.25" thickBot="1" x14ac:dyDescent="0.35">
      <c r="A145" s="1"/>
      <c r="B145" s="1"/>
    </row>
    <row r="146" spans="1:11" ht="17.25" thickBot="1" x14ac:dyDescent="0.35">
      <c r="A146" s="1"/>
      <c r="B146" s="1"/>
      <c r="K146" s="87">
        <v>9586</v>
      </c>
    </row>
    <row r="147" spans="1:11" ht="17.25" thickBot="1" x14ac:dyDescent="0.35">
      <c r="A147" s="1"/>
      <c r="B147" s="1"/>
      <c r="K147" s="88">
        <v>6775</v>
      </c>
    </row>
    <row r="148" spans="1:11" ht="17.25" thickBot="1" x14ac:dyDescent="0.35">
      <c r="A148" s="1"/>
      <c r="B148" s="1"/>
      <c r="K148" s="88">
        <v>1725</v>
      </c>
    </row>
    <row r="149" spans="1:11" ht="17.25" thickBot="1" x14ac:dyDescent="0.35">
      <c r="A149" s="1"/>
      <c r="B149" s="1"/>
      <c r="K149" s="88">
        <v>2000</v>
      </c>
    </row>
    <row r="150" spans="1:11" ht="17.25" thickBot="1" x14ac:dyDescent="0.35">
      <c r="A150" s="1"/>
      <c r="B150" s="1"/>
      <c r="K150" s="88">
        <v>1800</v>
      </c>
    </row>
    <row r="151" spans="1:11" ht="17.25" thickBot="1" x14ac:dyDescent="0.35">
      <c r="A151" s="1"/>
      <c r="B151" s="1"/>
      <c r="K151" s="88">
        <v>2300</v>
      </c>
    </row>
    <row r="152" spans="1:11" ht="17.25" thickBot="1" x14ac:dyDescent="0.35">
      <c r="A152" s="1"/>
      <c r="B152" s="1"/>
      <c r="K152" s="88">
        <v>9800</v>
      </c>
    </row>
    <row r="153" spans="1:11" ht="17.25" thickBot="1" x14ac:dyDescent="0.35">
      <c r="A153" s="1"/>
      <c r="B153" s="1"/>
      <c r="K153" s="89">
        <v>33986</v>
      </c>
    </row>
    <row r="154" spans="1:11" x14ac:dyDescent="0.3">
      <c r="A154" s="1"/>
      <c r="B154" s="1"/>
    </row>
    <row r="155" spans="1:11" x14ac:dyDescent="0.3">
      <c r="A155" s="1"/>
      <c r="B155" s="1"/>
    </row>
    <row r="156" spans="1:11" x14ac:dyDescent="0.3">
      <c r="A156" s="1"/>
      <c r="B156" s="1"/>
    </row>
    <row r="157" spans="1:11" x14ac:dyDescent="0.3">
      <c r="A157" s="1"/>
      <c r="B157" s="1"/>
    </row>
    <row r="158" spans="1:11" x14ac:dyDescent="0.3">
      <c r="A158" s="1"/>
      <c r="B158" s="1"/>
    </row>
    <row r="159" spans="1:11" x14ac:dyDescent="0.3">
      <c r="A159" s="1"/>
      <c r="B159" s="1"/>
    </row>
    <row r="160" spans="1:11" x14ac:dyDescent="0.3">
      <c r="A160" s="1"/>
      <c r="B160" s="1"/>
    </row>
    <row r="161" spans="1:2" x14ac:dyDescent="0.3">
      <c r="A161" s="1"/>
      <c r="B161" s="1"/>
    </row>
    <row r="162" spans="1:2" x14ac:dyDescent="0.3">
      <c r="A162" s="1"/>
      <c r="B162" s="1"/>
    </row>
    <row r="163" spans="1:2" x14ac:dyDescent="0.3">
      <c r="A163" s="1"/>
      <c r="B163" s="1"/>
    </row>
    <row r="164" spans="1:2" x14ac:dyDescent="0.3">
      <c r="A164" s="1"/>
      <c r="B164" s="1"/>
    </row>
    <row r="165" spans="1:2" x14ac:dyDescent="0.3">
      <c r="A165" s="1"/>
      <c r="B165" s="1"/>
    </row>
    <row r="166" spans="1:2" x14ac:dyDescent="0.3">
      <c r="A166" s="1"/>
      <c r="B166" s="1"/>
    </row>
    <row r="167" spans="1:2" x14ac:dyDescent="0.3">
      <c r="A167" s="1"/>
      <c r="B167" s="1"/>
    </row>
    <row r="168" spans="1:2" x14ac:dyDescent="0.3">
      <c r="A168" s="1"/>
      <c r="B168" s="1"/>
    </row>
    <row r="169" spans="1:2" x14ac:dyDescent="0.3">
      <c r="A169" s="1"/>
      <c r="B169" s="1"/>
    </row>
    <row r="170" spans="1:2" x14ac:dyDescent="0.3">
      <c r="A170" s="1"/>
      <c r="B170" s="1"/>
    </row>
    <row r="171" spans="1:2" x14ac:dyDescent="0.3">
      <c r="A171" s="1"/>
      <c r="B171" s="1"/>
    </row>
    <row r="172" spans="1:2" x14ac:dyDescent="0.3">
      <c r="A172" s="1"/>
      <c r="B172" s="1"/>
    </row>
    <row r="173" spans="1:2" x14ac:dyDescent="0.3">
      <c r="A173" s="1"/>
      <c r="B173" s="1"/>
    </row>
  </sheetData>
  <mergeCells count="2">
    <mergeCell ref="B18:C18"/>
    <mergeCell ref="B23:C23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B7180C-87A5-4B04-8912-B52D25E5554E}">
  <dimension ref="A1:X173"/>
  <sheetViews>
    <sheetView tabSelected="1" workbookViewId="0">
      <selection activeCell="L22" sqref="L22"/>
    </sheetView>
  </sheetViews>
  <sheetFormatPr defaultRowHeight="16.5" x14ac:dyDescent="0.3"/>
  <cols>
    <col min="1" max="1" width="9.140625" style="40"/>
    <col min="2" max="2" width="28.7109375" style="2" customWidth="1"/>
    <col min="3" max="3" width="14.140625" style="1" customWidth="1"/>
    <col min="4" max="4" width="13.85546875" style="1" bestFit="1" customWidth="1"/>
    <col min="5" max="5" width="17.5703125" style="1" bestFit="1" customWidth="1"/>
    <col min="6" max="7" width="13.85546875" style="7" bestFit="1" customWidth="1"/>
    <col min="8" max="8" width="15.28515625" style="7" bestFit="1" customWidth="1"/>
    <col min="9" max="9" width="20.42578125" style="7" bestFit="1" customWidth="1"/>
    <col min="10" max="10" width="14.7109375" style="1" bestFit="1" customWidth="1"/>
    <col min="11" max="11" width="21.42578125" style="7" customWidth="1"/>
    <col min="12" max="12" width="14.140625" style="1" customWidth="1"/>
    <col min="13" max="13" width="13.28515625" style="7" bestFit="1" customWidth="1"/>
    <col min="14" max="14" width="14.85546875" style="7" customWidth="1"/>
    <col min="15" max="15" width="21.140625" style="7" bestFit="1" customWidth="1"/>
    <col min="16" max="16" width="14.85546875" style="1" customWidth="1"/>
    <col min="17" max="17" width="16.7109375" style="1" bestFit="1" customWidth="1"/>
    <col min="18" max="18" width="10.28515625" style="1" bestFit="1" customWidth="1"/>
    <col min="19" max="19" width="10.85546875" style="1" bestFit="1" customWidth="1"/>
    <col min="20" max="23" width="9.140625" style="1"/>
    <col min="24" max="24" width="11" style="1" bestFit="1" customWidth="1"/>
    <col min="25" max="16384" width="9.140625" style="1"/>
  </cols>
  <sheetData>
    <row r="1" spans="1:19" x14ac:dyDescent="0.3">
      <c r="B1" s="13" t="s">
        <v>13</v>
      </c>
      <c r="H1" s="7" t="s">
        <v>38</v>
      </c>
      <c r="K1" s="7" t="s">
        <v>25</v>
      </c>
      <c r="O1" s="7" t="s">
        <v>33</v>
      </c>
      <c r="R1" s="7" t="s">
        <v>33</v>
      </c>
    </row>
    <row r="2" spans="1:19" x14ac:dyDescent="0.3">
      <c r="B2" s="23" t="s">
        <v>11</v>
      </c>
      <c r="C2" s="64">
        <v>9353</v>
      </c>
      <c r="D2" s="7" t="s">
        <v>44</v>
      </c>
      <c r="E2" s="4"/>
      <c r="F2" s="4"/>
      <c r="G2" s="25"/>
      <c r="H2" s="1" t="s">
        <v>39</v>
      </c>
      <c r="I2" s="64">
        <v>0</v>
      </c>
      <c r="J2" s="64">
        <f>C2</f>
        <v>9353</v>
      </c>
      <c r="K2" s="64">
        <v>1940</v>
      </c>
      <c r="L2" s="53">
        <f>J2*K2</f>
        <v>18144820</v>
      </c>
      <c r="O2" s="61" t="s">
        <v>35</v>
      </c>
      <c r="P2" s="62">
        <f>C33</f>
        <v>141453450</v>
      </c>
      <c r="R2" s="20">
        <f>P2*0.025/12</f>
        <v>294694.6875</v>
      </c>
      <c r="S2" s="18" t="s">
        <v>34</v>
      </c>
    </row>
    <row r="3" spans="1:19" x14ac:dyDescent="0.3">
      <c r="B3" s="24" t="s">
        <v>6</v>
      </c>
      <c r="C3" s="52">
        <v>8000</v>
      </c>
      <c r="D3" s="15"/>
      <c r="E3" s="26"/>
      <c r="F3" s="26"/>
      <c r="G3" s="15"/>
      <c r="H3" s="1" t="s">
        <v>40</v>
      </c>
      <c r="I3" s="64">
        <f>MROUND(I2/10.764,1)</f>
        <v>0</v>
      </c>
      <c r="J3" s="64"/>
      <c r="K3" s="53"/>
      <c r="L3" s="53">
        <f>N16</f>
        <v>64629450</v>
      </c>
      <c r="O3" s="61" t="s">
        <v>35</v>
      </c>
      <c r="P3" s="62">
        <f>C33</f>
        <v>141453450</v>
      </c>
      <c r="Q3" s="7"/>
      <c r="R3" s="20">
        <f>P3*0.04/12</f>
        <v>471511.5</v>
      </c>
      <c r="S3" s="63" t="s">
        <v>36</v>
      </c>
    </row>
    <row r="4" spans="1:19" x14ac:dyDescent="0.3">
      <c r="B4" s="32" t="s">
        <v>18</v>
      </c>
      <c r="C4" s="53">
        <f>ROUND((C2*C3),0)</f>
        <v>74824000</v>
      </c>
      <c r="F4" s="22"/>
      <c r="G4" s="22"/>
      <c r="I4" s="53"/>
      <c r="J4" s="64"/>
      <c r="K4" s="53"/>
      <c r="L4" s="53">
        <f>SUM(L2:L3)</f>
        <v>82774270</v>
      </c>
      <c r="O4" s="61" t="s">
        <v>35</v>
      </c>
      <c r="P4" s="62">
        <f>C33</f>
        <v>141453450</v>
      </c>
      <c r="Q4" s="7"/>
      <c r="R4" s="20">
        <f>P4*0.033/12</f>
        <v>388996.98750000005</v>
      </c>
      <c r="S4" s="18" t="s">
        <v>37</v>
      </c>
    </row>
    <row r="5" spans="1:19" x14ac:dyDescent="0.3">
      <c r="B5" s="13" t="s">
        <v>14</v>
      </c>
    </row>
    <row r="6" spans="1:19" s="3" customFormat="1" ht="60" x14ac:dyDescent="0.2">
      <c r="A6" s="41" t="s">
        <v>23</v>
      </c>
      <c r="B6" s="4" t="s">
        <v>27</v>
      </c>
      <c r="C6" s="4" t="s">
        <v>30</v>
      </c>
      <c r="D6" s="4" t="s">
        <v>0</v>
      </c>
      <c r="E6" s="4" t="s">
        <v>1</v>
      </c>
      <c r="F6" s="4" t="s">
        <v>2</v>
      </c>
      <c r="G6" s="42" t="s">
        <v>5</v>
      </c>
      <c r="H6" s="5" t="s">
        <v>29</v>
      </c>
      <c r="I6" s="5" t="s">
        <v>28</v>
      </c>
      <c r="J6" s="8" t="s">
        <v>3</v>
      </c>
      <c r="K6" s="8" t="s">
        <v>4</v>
      </c>
      <c r="L6" s="5" t="s">
        <v>16</v>
      </c>
      <c r="M6" s="43" t="s">
        <v>26</v>
      </c>
      <c r="N6" s="5" t="s">
        <v>17</v>
      </c>
      <c r="O6" s="5" t="s">
        <v>42</v>
      </c>
    </row>
    <row r="7" spans="1:19" s="3" customFormat="1" ht="15.75" thickBot="1" x14ac:dyDescent="0.25">
      <c r="A7" s="41"/>
      <c r="B7" s="4"/>
      <c r="C7" s="5" t="s">
        <v>43</v>
      </c>
      <c r="D7" s="4"/>
      <c r="E7" s="4"/>
      <c r="F7" s="4"/>
      <c r="G7" s="42" t="s">
        <v>31</v>
      </c>
      <c r="H7" s="5"/>
      <c r="I7" s="5"/>
      <c r="J7" s="8"/>
      <c r="K7" s="8"/>
      <c r="L7" s="8" t="s">
        <v>32</v>
      </c>
      <c r="M7" s="8" t="s">
        <v>32</v>
      </c>
      <c r="N7" s="8" t="s">
        <v>32</v>
      </c>
      <c r="O7" s="8" t="s">
        <v>32</v>
      </c>
    </row>
    <row r="8" spans="1:19" s="11" customFormat="1" ht="17.25" thickBot="1" x14ac:dyDescent="0.3">
      <c r="A8" s="49">
        <v>1</v>
      </c>
      <c r="B8" s="90" t="s">
        <v>54</v>
      </c>
      <c r="C8" s="91">
        <v>32136</v>
      </c>
      <c r="D8" s="50">
        <v>2021</v>
      </c>
      <c r="E8" s="50">
        <v>2021</v>
      </c>
      <c r="F8" s="97">
        <v>50</v>
      </c>
      <c r="G8" s="54">
        <v>1800</v>
      </c>
      <c r="H8" s="55">
        <f t="shared" ref="H8:H15" si="0">E8-D8</f>
        <v>0</v>
      </c>
      <c r="I8" s="55">
        <f t="shared" ref="I8:I15" si="1">F8-H8</f>
        <v>50</v>
      </c>
      <c r="J8" s="55">
        <f t="shared" ref="J8:J15" si="2">IF(H8&gt;=5,90*H8/F8,0)</f>
        <v>0</v>
      </c>
      <c r="K8" s="55">
        <f t="shared" ref="K8:K15" si="3">G8/100*J8</f>
        <v>0</v>
      </c>
      <c r="L8" s="55">
        <f t="shared" ref="L8:L15" si="4">ROUND((G8-K8),0)</f>
        <v>1800</v>
      </c>
      <c r="M8" s="55">
        <f t="shared" ref="M8:M15" si="5">O8-N8</f>
        <v>0</v>
      </c>
      <c r="N8" s="55">
        <f t="shared" ref="N8:N15" si="6">ROUND((L8*C8),0)</f>
        <v>57844800</v>
      </c>
      <c r="O8" s="55">
        <f t="shared" ref="O8:O15" si="7">ROUND((C8*G8),0)</f>
        <v>57844800</v>
      </c>
    </row>
    <row r="9" spans="1:19" s="11" customFormat="1" ht="17.25" thickBot="1" x14ac:dyDescent="0.3">
      <c r="A9" s="51">
        <v>2</v>
      </c>
      <c r="B9" s="92" t="s">
        <v>55</v>
      </c>
      <c r="C9" s="93">
        <v>4523.1000000000004</v>
      </c>
      <c r="D9" s="50">
        <v>2021</v>
      </c>
      <c r="E9" s="50">
        <v>2021</v>
      </c>
      <c r="F9" s="97">
        <v>60</v>
      </c>
      <c r="G9" s="54">
        <v>1500</v>
      </c>
      <c r="H9" s="55">
        <f t="shared" si="0"/>
        <v>0</v>
      </c>
      <c r="I9" s="55">
        <f t="shared" si="1"/>
        <v>60</v>
      </c>
      <c r="J9" s="55">
        <f t="shared" si="2"/>
        <v>0</v>
      </c>
      <c r="K9" s="55">
        <f t="shared" si="3"/>
        <v>0</v>
      </c>
      <c r="L9" s="55">
        <f t="shared" si="4"/>
        <v>1500</v>
      </c>
      <c r="M9" s="55">
        <f t="shared" si="5"/>
        <v>0</v>
      </c>
      <c r="N9" s="55">
        <f t="shared" si="6"/>
        <v>6784650</v>
      </c>
      <c r="O9" s="55">
        <f t="shared" si="7"/>
        <v>6784650</v>
      </c>
    </row>
    <row r="10" spans="1:19" s="11" customFormat="1" ht="17.25" customHeight="1" x14ac:dyDescent="0.25">
      <c r="A10" s="49">
        <v>3</v>
      </c>
      <c r="B10" s="46"/>
      <c r="C10" s="44">
        <v>0</v>
      </c>
      <c r="D10" s="50">
        <v>0</v>
      </c>
      <c r="E10" s="50">
        <v>0</v>
      </c>
      <c r="F10" s="50">
        <v>60</v>
      </c>
      <c r="G10" s="54">
        <v>0</v>
      </c>
      <c r="H10" s="55">
        <f t="shared" si="0"/>
        <v>0</v>
      </c>
      <c r="I10" s="55">
        <f t="shared" si="1"/>
        <v>60</v>
      </c>
      <c r="J10" s="55">
        <f t="shared" si="2"/>
        <v>0</v>
      </c>
      <c r="K10" s="55">
        <f t="shared" si="3"/>
        <v>0</v>
      </c>
      <c r="L10" s="55">
        <f t="shared" si="4"/>
        <v>0</v>
      </c>
      <c r="M10" s="55">
        <f t="shared" si="5"/>
        <v>0</v>
      </c>
      <c r="N10" s="55">
        <f t="shared" si="6"/>
        <v>0</v>
      </c>
      <c r="O10" s="55">
        <f t="shared" si="7"/>
        <v>0</v>
      </c>
    </row>
    <row r="11" spans="1:19" s="11" customFormat="1" x14ac:dyDescent="0.25">
      <c r="A11" s="51">
        <v>4</v>
      </c>
      <c r="B11" s="46"/>
      <c r="C11" s="44">
        <v>0</v>
      </c>
      <c r="D11" s="50">
        <v>0</v>
      </c>
      <c r="E11" s="50">
        <v>0</v>
      </c>
      <c r="F11" s="50">
        <v>60</v>
      </c>
      <c r="G11" s="54">
        <v>0</v>
      </c>
      <c r="H11" s="55">
        <f t="shared" si="0"/>
        <v>0</v>
      </c>
      <c r="I11" s="55">
        <f t="shared" si="1"/>
        <v>60</v>
      </c>
      <c r="J11" s="55">
        <f t="shared" si="2"/>
        <v>0</v>
      </c>
      <c r="K11" s="55">
        <f t="shared" si="3"/>
        <v>0</v>
      </c>
      <c r="L11" s="55">
        <f t="shared" si="4"/>
        <v>0</v>
      </c>
      <c r="M11" s="55">
        <f t="shared" si="5"/>
        <v>0</v>
      </c>
      <c r="N11" s="55">
        <f t="shared" si="6"/>
        <v>0</v>
      </c>
      <c r="O11" s="55">
        <f t="shared" si="7"/>
        <v>0</v>
      </c>
    </row>
    <row r="12" spans="1:19" s="11" customFormat="1" x14ac:dyDescent="0.25">
      <c r="A12" s="49">
        <v>5</v>
      </c>
      <c r="B12" s="46"/>
      <c r="C12" s="44">
        <v>0</v>
      </c>
      <c r="D12" s="50">
        <v>0</v>
      </c>
      <c r="E12" s="50">
        <v>0</v>
      </c>
      <c r="F12" s="50">
        <v>60</v>
      </c>
      <c r="G12" s="54">
        <v>0</v>
      </c>
      <c r="H12" s="55">
        <f t="shared" si="0"/>
        <v>0</v>
      </c>
      <c r="I12" s="55">
        <f t="shared" si="1"/>
        <v>60</v>
      </c>
      <c r="J12" s="55">
        <f t="shared" si="2"/>
        <v>0</v>
      </c>
      <c r="K12" s="55">
        <f t="shared" si="3"/>
        <v>0</v>
      </c>
      <c r="L12" s="55">
        <f t="shared" si="4"/>
        <v>0</v>
      </c>
      <c r="M12" s="55">
        <f t="shared" si="5"/>
        <v>0</v>
      </c>
      <c r="N12" s="55">
        <f t="shared" si="6"/>
        <v>0</v>
      </c>
      <c r="O12" s="55">
        <f t="shared" si="7"/>
        <v>0</v>
      </c>
    </row>
    <row r="13" spans="1:19" x14ac:dyDescent="0.3">
      <c r="A13" s="45">
        <v>6</v>
      </c>
      <c r="B13" s="46"/>
      <c r="C13" s="44">
        <v>0</v>
      </c>
      <c r="D13" s="33">
        <v>0</v>
      </c>
      <c r="E13" s="33">
        <v>0</v>
      </c>
      <c r="F13" s="33">
        <v>60</v>
      </c>
      <c r="G13" s="56">
        <v>0</v>
      </c>
      <c r="H13" s="55">
        <f t="shared" si="0"/>
        <v>0</v>
      </c>
      <c r="I13" s="55">
        <f t="shared" si="1"/>
        <v>60</v>
      </c>
      <c r="J13" s="55">
        <f t="shared" si="2"/>
        <v>0</v>
      </c>
      <c r="K13" s="55">
        <f t="shared" si="3"/>
        <v>0</v>
      </c>
      <c r="L13" s="55">
        <f t="shared" si="4"/>
        <v>0</v>
      </c>
      <c r="M13" s="57">
        <f t="shared" si="5"/>
        <v>0</v>
      </c>
      <c r="N13" s="55">
        <f t="shared" si="6"/>
        <v>0</v>
      </c>
      <c r="O13" s="55">
        <f t="shared" si="7"/>
        <v>0</v>
      </c>
    </row>
    <row r="14" spans="1:19" x14ac:dyDescent="0.3">
      <c r="A14" s="24">
        <v>7</v>
      </c>
      <c r="B14" s="46"/>
      <c r="C14" s="44">
        <v>0</v>
      </c>
      <c r="D14" s="33">
        <v>0</v>
      </c>
      <c r="E14" s="33">
        <v>0</v>
      </c>
      <c r="F14" s="33">
        <v>60</v>
      </c>
      <c r="G14" s="56">
        <v>0</v>
      </c>
      <c r="H14" s="55">
        <f t="shared" si="0"/>
        <v>0</v>
      </c>
      <c r="I14" s="55">
        <f t="shared" si="1"/>
        <v>60</v>
      </c>
      <c r="J14" s="55">
        <f t="shared" si="2"/>
        <v>0</v>
      </c>
      <c r="K14" s="55">
        <f t="shared" si="3"/>
        <v>0</v>
      </c>
      <c r="L14" s="55">
        <f t="shared" si="4"/>
        <v>0</v>
      </c>
      <c r="M14" s="57">
        <f t="shared" si="5"/>
        <v>0</v>
      </c>
      <c r="N14" s="55">
        <f t="shared" si="6"/>
        <v>0</v>
      </c>
      <c r="O14" s="55">
        <f t="shared" si="7"/>
        <v>0</v>
      </c>
    </row>
    <row r="15" spans="1:19" x14ac:dyDescent="0.3">
      <c r="A15" s="45">
        <v>8</v>
      </c>
      <c r="B15" s="46"/>
      <c r="C15" s="44">
        <v>0</v>
      </c>
      <c r="D15" s="33">
        <v>0</v>
      </c>
      <c r="E15" s="33">
        <v>0</v>
      </c>
      <c r="F15" s="33">
        <v>60</v>
      </c>
      <c r="G15" s="56">
        <v>0</v>
      </c>
      <c r="H15" s="55">
        <f t="shared" si="0"/>
        <v>0</v>
      </c>
      <c r="I15" s="55">
        <f t="shared" si="1"/>
        <v>60</v>
      </c>
      <c r="J15" s="55">
        <f t="shared" si="2"/>
        <v>0</v>
      </c>
      <c r="K15" s="55">
        <f t="shared" si="3"/>
        <v>0</v>
      </c>
      <c r="L15" s="55">
        <f t="shared" si="4"/>
        <v>0</v>
      </c>
      <c r="M15" s="57">
        <f t="shared" si="5"/>
        <v>0</v>
      </c>
      <c r="N15" s="55">
        <f t="shared" si="6"/>
        <v>0</v>
      </c>
      <c r="O15" s="55">
        <f t="shared" si="7"/>
        <v>0</v>
      </c>
    </row>
    <row r="16" spans="1:19" x14ac:dyDescent="0.3">
      <c r="A16" s="24"/>
      <c r="B16" s="47"/>
      <c r="C16" s="48"/>
      <c r="D16" s="48"/>
      <c r="E16" s="48"/>
      <c r="F16" s="6"/>
      <c r="G16" s="55"/>
      <c r="H16" s="55"/>
      <c r="I16" s="55"/>
      <c r="J16" s="58"/>
      <c r="K16" s="55"/>
      <c r="L16" s="58"/>
      <c r="M16" s="55">
        <f>SUM(M8:M15)</f>
        <v>0</v>
      </c>
      <c r="N16" s="55">
        <f>SUM(N8:N15)</f>
        <v>64629450</v>
      </c>
      <c r="O16" s="55">
        <f>SUM(O8:O15)</f>
        <v>64629450</v>
      </c>
    </row>
    <row r="17" spans="1:15" x14ac:dyDescent="0.3">
      <c r="B17" s="10"/>
      <c r="C17" s="11"/>
      <c r="D17" s="11"/>
      <c r="E17" s="11"/>
      <c r="F17" s="12"/>
      <c r="G17" s="12"/>
      <c r="H17" s="12"/>
      <c r="I17" s="12"/>
      <c r="J17" s="11"/>
      <c r="K17" s="16"/>
      <c r="L17" s="17"/>
      <c r="M17" s="12"/>
      <c r="N17" s="27"/>
      <c r="O17" s="27"/>
    </row>
    <row r="18" spans="1:15" x14ac:dyDescent="0.3">
      <c r="B18" s="119" t="s">
        <v>20</v>
      </c>
      <c r="C18" s="119"/>
      <c r="D18" s="11"/>
      <c r="E18" s="11"/>
      <c r="F18" s="12"/>
      <c r="G18" s="12">
        <f>1800*10.764</f>
        <v>19375.199999999997</v>
      </c>
      <c r="H18" s="12"/>
      <c r="I18" s="12"/>
      <c r="J18" s="11"/>
      <c r="K18" s="16"/>
      <c r="L18" s="17"/>
      <c r="M18" s="12"/>
      <c r="N18" s="27"/>
      <c r="O18" s="27"/>
    </row>
    <row r="19" spans="1:15" x14ac:dyDescent="0.3">
      <c r="B19" s="23" t="s">
        <v>19</v>
      </c>
      <c r="C19" s="59">
        <v>0</v>
      </c>
      <c r="D19" s="11"/>
      <c r="E19" s="11"/>
      <c r="F19" s="12"/>
      <c r="G19" s="12">
        <f>1500*10.764</f>
        <v>16145.999999999998</v>
      </c>
      <c r="H19" s="12"/>
      <c r="I19" s="12"/>
      <c r="J19" s="11"/>
      <c r="K19" s="16"/>
      <c r="L19" s="17"/>
      <c r="M19" s="12"/>
      <c r="N19" s="27"/>
      <c r="O19" s="27"/>
    </row>
    <row r="20" spans="1:15" x14ac:dyDescent="0.3">
      <c r="B20" s="24" t="s">
        <v>6</v>
      </c>
      <c r="C20" s="52">
        <v>0</v>
      </c>
      <c r="D20" s="11"/>
      <c r="E20" s="11"/>
      <c r="F20" s="12"/>
      <c r="G20" s="12"/>
      <c r="H20" s="12"/>
      <c r="I20" s="12"/>
      <c r="J20" s="11"/>
      <c r="K20" s="16"/>
      <c r="L20" s="17"/>
      <c r="M20" s="12"/>
      <c r="N20" s="27"/>
      <c r="O20" s="27"/>
    </row>
    <row r="21" spans="1:15" x14ac:dyDescent="0.3">
      <c r="B21" s="24" t="s">
        <v>7</v>
      </c>
      <c r="C21" s="57">
        <f>ROUND((C19*C20),0)</f>
        <v>0</v>
      </c>
      <c r="D21" s="11"/>
      <c r="E21" s="11"/>
      <c r="F21" s="12"/>
      <c r="G21" s="12"/>
      <c r="H21" s="12"/>
      <c r="I21" s="12"/>
      <c r="J21" s="11"/>
      <c r="K21" s="16"/>
      <c r="L21" s="17"/>
      <c r="M21" s="12"/>
      <c r="N21" s="27"/>
      <c r="O21" s="27"/>
    </row>
    <row r="22" spans="1:15" x14ac:dyDescent="0.3">
      <c r="B22" s="10"/>
      <c r="C22" s="11"/>
      <c r="D22" s="11"/>
      <c r="E22" s="11"/>
      <c r="F22" s="12"/>
      <c r="G22" s="12"/>
      <c r="H22" s="12"/>
      <c r="I22" s="12"/>
      <c r="J22" s="11"/>
      <c r="K22" s="16"/>
      <c r="L22" s="17"/>
      <c r="M22" s="12"/>
      <c r="N22" s="27"/>
      <c r="O22" s="27"/>
    </row>
    <row r="23" spans="1:15" ht="22.5" customHeight="1" x14ac:dyDescent="0.3">
      <c r="B23" s="120" t="s">
        <v>15</v>
      </c>
      <c r="C23" s="121"/>
      <c r="D23" s="11"/>
      <c r="E23" s="11"/>
      <c r="F23" s="12"/>
      <c r="G23" s="12"/>
      <c r="H23" s="12"/>
      <c r="I23" s="12"/>
      <c r="J23" s="11"/>
      <c r="K23" s="12"/>
      <c r="L23" s="11"/>
      <c r="M23" s="12"/>
      <c r="N23" s="12"/>
      <c r="O23" s="12"/>
    </row>
    <row r="24" spans="1:15" x14ac:dyDescent="0.3">
      <c r="B24" s="23" t="s">
        <v>11</v>
      </c>
      <c r="C24" s="59">
        <v>1</v>
      </c>
      <c r="E24" s="28"/>
      <c r="F24" s="28"/>
      <c r="G24" s="29"/>
      <c r="H24" s="14"/>
      <c r="I24" s="14"/>
      <c r="L24" s="21"/>
    </row>
    <row r="25" spans="1:15" x14ac:dyDescent="0.3">
      <c r="B25" s="24" t="s">
        <v>6</v>
      </c>
      <c r="C25" s="52">
        <v>2000000</v>
      </c>
      <c r="D25" s="30"/>
      <c r="E25" s="22"/>
      <c r="F25" s="22"/>
      <c r="G25" s="16"/>
      <c r="H25" s="14"/>
      <c r="I25" s="14"/>
      <c r="L25" s="22" t="s">
        <v>51</v>
      </c>
      <c r="M25" s="22"/>
    </row>
    <row r="26" spans="1:15" x14ac:dyDescent="0.3">
      <c r="B26" s="24" t="s">
        <v>7</v>
      </c>
      <c r="C26" s="57">
        <f>ROUND((C24*C25),0)</f>
        <v>2000000</v>
      </c>
      <c r="D26" s="9"/>
      <c r="E26" s="9"/>
      <c r="F26" s="21"/>
      <c r="H26" s="14"/>
      <c r="I26" s="66" t="s">
        <v>49</v>
      </c>
      <c r="J26" s="22" t="s">
        <v>45</v>
      </c>
      <c r="K26" s="65" t="s">
        <v>46</v>
      </c>
      <c r="L26" s="69">
        <v>2000</v>
      </c>
      <c r="M26" s="65" t="s">
        <v>47</v>
      </c>
      <c r="N26" s="22" t="s">
        <v>37</v>
      </c>
    </row>
    <row r="27" spans="1:15" x14ac:dyDescent="0.3">
      <c r="B27" s="40"/>
      <c r="C27" s="19"/>
      <c r="D27" s="9"/>
      <c r="E27" s="9"/>
      <c r="F27" s="21"/>
      <c r="H27" s="14"/>
      <c r="I27" s="66" t="s">
        <v>49</v>
      </c>
      <c r="J27" s="1" t="s">
        <v>48</v>
      </c>
      <c r="K27" s="65" t="s">
        <v>50</v>
      </c>
      <c r="L27" s="69">
        <v>9800</v>
      </c>
      <c r="M27" s="65" t="s">
        <v>47</v>
      </c>
      <c r="N27" s="22" t="s">
        <v>37</v>
      </c>
    </row>
    <row r="28" spans="1:15" x14ac:dyDescent="0.3">
      <c r="C28" s="9" t="s">
        <v>22</v>
      </c>
      <c r="D28" s="9"/>
      <c r="E28" s="9"/>
      <c r="F28" s="21"/>
      <c r="H28" s="14"/>
      <c r="I28" s="14"/>
      <c r="L28" s="70">
        <f>SUM(L26:L27)</f>
        <v>11800</v>
      </c>
      <c r="M28" s="22"/>
    </row>
    <row r="29" spans="1:15" x14ac:dyDescent="0.3">
      <c r="B29" s="2" t="s">
        <v>13</v>
      </c>
      <c r="C29" s="53">
        <f>C4</f>
        <v>74824000</v>
      </c>
      <c r="D29" s="19"/>
      <c r="E29" s="19"/>
      <c r="F29" s="19"/>
      <c r="G29" s="19"/>
      <c r="H29" s="20"/>
      <c r="I29" s="20"/>
      <c r="L29" s="67"/>
      <c r="M29" s="22"/>
    </row>
    <row r="30" spans="1:15" ht="33" x14ac:dyDescent="0.3">
      <c r="B30" s="2" t="s">
        <v>14</v>
      </c>
      <c r="C30" s="53">
        <f>N16</f>
        <v>64629450</v>
      </c>
      <c r="D30" s="19"/>
      <c r="E30" s="19"/>
      <c r="F30" s="19"/>
      <c r="G30" s="19"/>
      <c r="H30" s="20"/>
      <c r="I30" s="20"/>
      <c r="L30" s="68" t="s">
        <v>52</v>
      </c>
      <c r="M30" s="22"/>
    </row>
    <row r="31" spans="1:15" ht="90" x14ac:dyDescent="0.3">
      <c r="B31" s="2" t="s">
        <v>21</v>
      </c>
      <c r="C31" s="53">
        <f>C21</f>
        <v>0</v>
      </c>
      <c r="D31" s="19"/>
      <c r="E31" s="19"/>
      <c r="F31" s="19"/>
      <c r="G31" s="19"/>
      <c r="H31" s="20"/>
      <c r="I31" s="20"/>
      <c r="J31" s="72" t="s">
        <v>65</v>
      </c>
      <c r="L31" s="67">
        <v>9353</v>
      </c>
      <c r="M31" s="65" t="s">
        <v>47</v>
      </c>
      <c r="N31" s="22" t="s">
        <v>53</v>
      </c>
    </row>
    <row r="32" spans="1:15" x14ac:dyDescent="0.3">
      <c r="A32" s="1"/>
      <c r="B32" s="2" t="s">
        <v>12</v>
      </c>
      <c r="C32" s="53">
        <f>C26</f>
        <v>2000000</v>
      </c>
      <c r="D32" s="19"/>
      <c r="E32" s="19"/>
      <c r="F32" s="19"/>
      <c r="G32" s="19"/>
      <c r="H32" s="20"/>
      <c r="I32" s="20"/>
      <c r="L32" s="20"/>
    </row>
    <row r="33" spans="1:18" x14ac:dyDescent="0.3">
      <c r="A33" s="1"/>
      <c r="B33" s="13" t="s">
        <v>8</v>
      </c>
      <c r="C33" s="60">
        <f>C29+C30+C31+C32</f>
        <v>141453450</v>
      </c>
      <c r="D33" s="18"/>
      <c r="F33" s="18"/>
      <c r="K33" s="22" t="s">
        <v>54</v>
      </c>
      <c r="L33" s="96">
        <v>2985.51</v>
      </c>
      <c r="M33" s="65" t="s">
        <v>47</v>
      </c>
      <c r="N33" s="22" t="s">
        <v>53</v>
      </c>
      <c r="O33" s="22" t="s">
        <v>56</v>
      </c>
      <c r="P33" s="96">
        <f>MROUND(L33*10.764,1)</f>
        <v>32136</v>
      </c>
    </row>
    <row r="34" spans="1:18" x14ac:dyDescent="0.3">
      <c r="A34" s="1"/>
      <c r="B34" s="13" t="s">
        <v>9</v>
      </c>
      <c r="C34" s="60">
        <f>MROUND(C33*90%,1)</f>
        <v>127308105</v>
      </c>
      <c r="D34" s="20"/>
      <c r="F34" s="18"/>
      <c r="H34" s="34"/>
      <c r="I34" s="34"/>
      <c r="K34" s="22" t="s">
        <v>55</v>
      </c>
      <c r="L34" s="96">
        <v>420.21</v>
      </c>
      <c r="M34" s="65" t="s">
        <v>47</v>
      </c>
      <c r="N34" s="22" t="s">
        <v>53</v>
      </c>
      <c r="O34" s="22" t="s">
        <v>57</v>
      </c>
      <c r="P34" s="96">
        <f>MROUND(L34*10.764,1)</f>
        <v>4523</v>
      </c>
    </row>
    <row r="35" spans="1:18" x14ac:dyDescent="0.3">
      <c r="A35" s="1"/>
      <c r="B35" s="13" t="s">
        <v>10</v>
      </c>
      <c r="C35" s="60">
        <f>MROUND(C33*80%,1)</f>
        <v>113162760</v>
      </c>
      <c r="D35" s="20"/>
      <c r="F35" s="18"/>
      <c r="H35" s="34"/>
      <c r="I35" s="34"/>
      <c r="L35" s="96">
        <f>SUM(L33:L34)</f>
        <v>3405.7200000000003</v>
      </c>
      <c r="P35" s="96">
        <f>SUM(P33:P34)</f>
        <v>36659</v>
      </c>
    </row>
    <row r="36" spans="1:18" x14ac:dyDescent="0.3">
      <c r="A36" s="1"/>
      <c r="B36" s="2" t="s">
        <v>24</v>
      </c>
      <c r="C36" s="53">
        <f>O16</f>
        <v>64629450</v>
      </c>
      <c r="D36" s="31"/>
      <c r="O36" s="35"/>
    </row>
    <row r="37" spans="1:18" ht="33" x14ac:dyDescent="0.3">
      <c r="A37" s="1"/>
      <c r="B37" s="13" t="s">
        <v>41</v>
      </c>
      <c r="C37" s="61">
        <f>MROUND(C36*0.85,1)</f>
        <v>54935033</v>
      </c>
      <c r="L37" s="2" t="s">
        <v>58</v>
      </c>
      <c r="O37" s="35"/>
    </row>
    <row r="38" spans="1:18" x14ac:dyDescent="0.3">
      <c r="A38" s="1"/>
      <c r="K38" s="22" t="s">
        <v>63</v>
      </c>
      <c r="L38" s="22">
        <v>5774.55</v>
      </c>
      <c r="M38" s="65" t="s">
        <v>47</v>
      </c>
      <c r="O38" s="35" t="s">
        <v>66</v>
      </c>
      <c r="P38" s="1" t="s">
        <v>67</v>
      </c>
      <c r="R38" s="1" t="s">
        <v>71</v>
      </c>
    </row>
    <row r="39" spans="1:18" x14ac:dyDescent="0.3">
      <c r="A39" s="1"/>
      <c r="K39" s="22" t="s">
        <v>64</v>
      </c>
      <c r="L39" s="22">
        <v>2887.27</v>
      </c>
      <c r="M39" s="65" t="s">
        <v>47</v>
      </c>
      <c r="O39" s="35">
        <v>7</v>
      </c>
      <c r="P39" s="1">
        <v>5774.55</v>
      </c>
      <c r="R39" s="1" t="s">
        <v>72</v>
      </c>
    </row>
    <row r="40" spans="1:18" x14ac:dyDescent="0.3">
      <c r="A40" s="1"/>
      <c r="K40" s="22" t="s">
        <v>59</v>
      </c>
      <c r="L40" s="22"/>
      <c r="M40" s="65"/>
      <c r="O40" s="35"/>
    </row>
    <row r="41" spans="1:18" x14ac:dyDescent="0.3">
      <c r="A41" s="1"/>
      <c r="H41" s="34"/>
      <c r="I41" s="34"/>
      <c r="K41" s="22" t="s">
        <v>60</v>
      </c>
      <c r="L41" s="71">
        <v>1522.34</v>
      </c>
      <c r="M41" s="65" t="s">
        <v>47</v>
      </c>
      <c r="O41" s="35">
        <v>11</v>
      </c>
      <c r="P41" s="1">
        <v>2669</v>
      </c>
    </row>
    <row r="42" spans="1:18" x14ac:dyDescent="0.3">
      <c r="A42" s="1"/>
      <c r="K42" s="22" t="s">
        <v>61</v>
      </c>
      <c r="L42" s="71">
        <v>129.65</v>
      </c>
      <c r="M42" s="65" t="s">
        <v>47</v>
      </c>
      <c r="O42" s="35"/>
    </row>
    <row r="43" spans="1:18" x14ac:dyDescent="0.3">
      <c r="A43" s="1"/>
      <c r="K43" s="22" t="s">
        <v>62</v>
      </c>
      <c r="L43" s="71">
        <v>1464.28</v>
      </c>
      <c r="M43" s="65" t="s">
        <v>47</v>
      </c>
      <c r="O43" s="71">
        <v>3</v>
      </c>
      <c r="P43" s="31">
        <v>934</v>
      </c>
      <c r="Q43" s="1" t="s">
        <v>68</v>
      </c>
    </row>
    <row r="44" spans="1:18" x14ac:dyDescent="0.3">
      <c r="A44" s="1"/>
      <c r="K44" s="22"/>
      <c r="L44" s="71">
        <f>SUM(L41:L43)</f>
        <v>3116.27</v>
      </c>
      <c r="M44" s="65" t="s">
        <v>47</v>
      </c>
      <c r="O44" s="71">
        <v>6</v>
      </c>
      <c r="P44" s="31">
        <v>601.6</v>
      </c>
      <c r="Q44" s="1" t="s">
        <v>68</v>
      </c>
    </row>
    <row r="45" spans="1:18" x14ac:dyDescent="0.3">
      <c r="A45" s="1"/>
      <c r="L45" s="36"/>
      <c r="O45" s="71">
        <v>9</v>
      </c>
      <c r="P45" s="31">
        <v>660.8</v>
      </c>
      <c r="Q45" s="1" t="s">
        <v>68</v>
      </c>
    </row>
    <row r="46" spans="1:18" x14ac:dyDescent="0.3">
      <c r="A46" s="1"/>
      <c r="O46" s="22">
        <v>13</v>
      </c>
      <c r="P46" s="31">
        <v>1202.3</v>
      </c>
      <c r="Q46" s="1" t="s">
        <v>68</v>
      </c>
    </row>
    <row r="47" spans="1:18" ht="33" x14ac:dyDescent="0.3">
      <c r="A47" s="1"/>
      <c r="L47" s="2" t="s">
        <v>73</v>
      </c>
      <c r="O47" s="22">
        <v>15</v>
      </c>
      <c r="P47" s="31">
        <v>1560</v>
      </c>
      <c r="Q47" s="1" t="s">
        <v>69</v>
      </c>
    </row>
    <row r="48" spans="1:18" x14ac:dyDescent="0.3">
      <c r="A48" s="1"/>
      <c r="B48" s="1"/>
      <c r="O48" s="22">
        <v>14</v>
      </c>
      <c r="P48" s="31">
        <v>215</v>
      </c>
      <c r="Q48" s="1" t="s">
        <v>69</v>
      </c>
    </row>
    <row r="49" spans="1:17" x14ac:dyDescent="0.3">
      <c r="A49" s="1"/>
      <c r="B49" s="1"/>
      <c r="O49" s="22">
        <v>2</v>
      </c>
      <c r="P49" s="31">
        <v>467</v>
      </c>
      <c r="Q49" s="1" t="s">
        <v>70</v>
      </c>
    </row>
    <row r="50" spans="1:17" x14ac:dyDescent="0.3">
      <c r="A50" s="1"/>
      <c r="B50" s="1"/>
      <c r="O50" s="22">
        <v>5</v>
      </c>
      <c r="P50" s="31">
        <v>300.8</v>
      </c>
      <c r="Q50" s="1" t="s">
        <v>70</v>
      </c>
    </row>
    <row r="51" spans="1:17" x14ac:dyDescent="0.3">
      <c r="A51" s="1"/>
      <c r="B51" s="1"/>
      <c r="O51" s="22">
        <v>12</v>
      </c>
      <c r="P51" s="31">
        <v>601.15</v>
      </c>
      <c r="Q51" s="1" t="s">
        <v>70</v>
      </c>
    </row>
    <row r="52" spans="1:17" x14ac:dyDescent="0.3">
      <c r="A52" s="1"/>
      <c r="B52" s="1"/>
      <c r="O52" s="22">
        <v>10</v>
      </c>
      <c r="P52" s="31">
        <v>330.4</v>
      </c>
      <c r="Q52" s="1" t="s">
        <v>70</v>
      </c>
    </row>
    <row r="53" spans="1:17" x14ac:dyDescent="0.3">
      <c r="A53" s="1"/>
      <c r="B53" s="1"/>
      <c r="P53" s="31"/>
    </row>
    <row r="54" spans="1:17" x14ac:dyDescent="0.3">
      <c r="A54" s="1"/>
      <c r="B54" s="1"/>
      <c r="O54" s="22">
        <v>1</v>
      </c>
      <c r="P54" s="31">
        <v>7939</v>
      </c>
    </row>
    <row r="55" spans="1:17" x14ac:dyDescent="0.3">
      <c r="A55" s="1"/>
      <c r="B55" s="1"/>
      <c r="O55" s="22">
        <v>4</v>
      </c>
      <c r="P55" s="31">
        <v>5113.6000000000004</v>
      </c>
    </row>
    <row r="56" spans="1:17" x14ac:dyDescent="0.3">
      <c r="A56" s="1"/>
      <c r="B56" s="1"/>
      <c r="O56" s="22">
        <v>7</v>
      </c>
      <c r="P56" s="31">
        <v>5774.55</v>
      </c>
    </row>
    <row r="57" spans="1:17" x14ac:dyDescent="0.3">
      <c r="A57" s="1"/>
      <c r="B57" s="1"/>
      <c r="F57" s="37"/>
      <c r="G57" s="37"/>
      <c r="H57" s="37"/>
      <c r="I57" s="37"/>
      <c r="J57" s="13"/>
      <c r="M57" s="7">
        <v>5774.55</v>
      </c>
      <c r="N57" s="7">
        <v>1</v>
      </c>
      <c r="O57" s="22">
        <v>8</v>
      </c>
      <c r="P57" s="31">
        <v>5616.8</v>
      </c>
    </row>
    <row r="58" spans="1:17" x14ac:dyDescent="0.3">
      <c r="A58" s="1"/>
      <c r="B58" s="1"/>
      <c r="F58" s="35"/>
      <c r="G58" s="1"/>
      <c r="H58" s="35"/>
      <c r="I58" s="35"/>
      <c r="M58" s="7">
        <f>M57*N58/N57</f>
        <v>2425.3110000000001</v>
      </c>
      <c r="N58" s="7">
        <v>0.42</v>
      </c>
      <c r="O58" s="22">
        <v>11</v>
      </c>
      <c r="P58" s="31">
        <v>2669</v>
      </c>
      <c r="Q58" s="61">
        <f>SUM(P54:P58)</f>
        <v>27112.95</v>
      </c>
    </row>
    <row r="59" spans="1:17" ht="49.5" x14ac:dyDescent="0.3">
      <c r="A59" s="1"/>
      <c r="B59" s="1"/>
      <c r="F59" s="35" t="s">
        <v>91</v>
      </c>
      <c r="I59" s="35" t="s">
        <v>92</v>
      </c>
      <c r="J59" s="35" t="s">
        <v>93</v>
      </c>
      <c r="P59" s="61">
        <f>SUM(P43:P58)</f>
        <v>33986</v>
      </c>
    </row>
    <row r="60" spans="1:17" x14ac:dyDescent="0.3">
      <c r="A60" s="1"/>
      <c r="B60" s="1"/>
      <c r="F60" s="35">
        <v>27.89</v>
      </c>
      <c r="G60" s="35">
        <v>48.75</v>
      </c>
      <c r="H60" s="94">
        <f>F60*G60</f>
        <v>1359.6375</v>
      </c>
      <c r="I60" s="35"/>
    </row>
    <row r="61" spans="1:17" x14ac:dyDescent="0.3">
      <c r="A61" s="1"/>
      <c r="B61" s="1"/>
      <c r="F61" s="35">
        <v>27.89</v>
      </c>
      <c r="G61" s="38">
        <v>5</v>
      </c>
      <c r="H61" s="94">
        <f>F61*G61</f>
        <v>139.44999999999999</v>
      </c>
      <c r="I61" s="95">
        <f>SUM(H60:H61)</f>
        <v>1499.0875000000001</v>
      </c>
      <c r="J61" s="96">
        <f t="shared" ref="J61:J63" si="8">MROUND(I61*10.764,1)</f>
        <v>16136</v>
      </c>
      <c r="M61" s="7">
        <v>1522.34</v>
      </c>
    </row>
    <row r="62" spans="1:17" x14ac:dyDescent="0.3">
      <c r="A62" s="1"/>
      <c r="B62" s="1"/>
      <c r="F62" s="35">
        <v>11.08</v>
      </c>
      <c r="G62" s="35">
        <v>25</v>
      </c>
      <c r="H62" s="94">
        <f>F62*G62</f>
        <v>277</v>
      </c>
      <c r="I62" s="95">
        <v>1499.09</v>
      </c>
      <c r="J62" s="96">
        <f t="shared" si="8"/>
        <v>16136</v>
      </c>
      <c r="M62" s="7">
        <v>129.65</v>
      </c>
    </row>
    <row r="63" spans="1:17" x14ac:dyDescent="0.3">
      <c r="A63" s="1"/>
      <c r="B63" s="1"/>
      <c r="F63" s="35">
        <v>15</v>
      </c>
      <c r="G63" s="35">
        <v>14</v>
      </c>
      <c r="H63" s="94">
        <f>F63*G63</f>
        <v>210</v>
      </c>
      <c r="I63" s="95">
        <f>H62+H63</f>
        <v>487</v>
      </c>
      <c r="J63" s="96">
        <f t="shared" si="8"/>
        <v>5242</v>
      </c>
      <c r="M63" s="7">
        <v>1464.28</v>
      </c>
      <c r="N63" s="7">
        <f>M61+M63</f>
        <v>2986.62</v>
      </c>
    </row>
    <row r="64" spans="1:17" x14ac:dyDescent="0.3">
      <c r="A64" s="1"/>
      <c r="B64" s="1"/>
      <c r="F64" s="35"/>
      <c r="G64" s="35"/>
      <c r="H64" s="35"/>
      <c r="I64" s="95">
        <f>SUM(I61:I63)</f>
        <v>3485.1774999999998</v>
      </c>
      <c r="J64" s="96">
        <f>MROUND(I64*10.764,1)</f>
        <v>37514</v>
      </c>
      <c r="M64" s="7">
        <f>SUM(M61:M63)</f>
        <v>3116.27</v>
      </c>
    </row>
    <row r="65" spans="1:14" x14ac:dyDescent="0.3">
      <c r="A65" s="1"/>
      <c r="B65" s="1"/>
      <c r="F65" s="35"/>
      <c r="G65" s="35"/>
      <c r="H65" s="35"/>
      <c r="I65" s="35"/>
    </row>
    <row r="66" spans="1:14" x14ac:dyDescent="0.3">
      <c r="A66" s="1"/>
      <c r="B66" s="1"/>
      <c r="F66" s="35" t="s">
        <v>55</v>
      </c>
      <c r="G66" s="35"/>
      <c r="H66" s="35"/>
      <c r="I66" s="35"/>
      <c r="N66" s="7">
        <f>M57-N63</f>
        <v>2787.9300000000003</v>
      </c>
    </row>
    <row r="67" spans="1:14" x14ac:dyDescent="0.3">
      <c r="A67" s="1"/>
      <c r="B67" s="1"/>
      <c r="F67" s="22" t="s">
        <v>60</v>
      </c>
      <c r="G67" s="22"/>
      <c r="H67" s="22"/>
      <c r="I67" s="35"/>
    </row>
    <row r="68" spans="1:14" x14ac:dyDescent="0.3">
      <c r="A68" s="1"/>
      <c r="B68" s="1"/>
      <c r="F68" s="71">
        <v>20.3</v>
      </c>
      <c r="G68" s="71">
        <v>15.26</v>
      </c>
      <c r="H68" s="71">
        <f>F68*G68</f>
        <v>309.77800000000002</v>
      </c>
    </row>
    <row r="69" spans="1:14" x14ac:dyDescent="0.3">
      <c r="A69" s="1"/>
      <c r="B69" s="1"/>
      <c r="F69" s="22">
        <v>5.67</v>
      </c>
      <c r="G69" s="22">
        <v>11.59</v>
      </c>
      <c r="H69" s="71">
        <f t="shared" ref="H69:H79" si="9">F69*G69</f>
        <v>65.715299999999999</v>
      </c>
    </row>
    <row r="70" spans="1:14" x14ac:dyDescent="0.3">
      <c r="A70" s="1"/>
      <c r="B70" s="1"/>
      <c r="F70" s="22">
        <v>15.07</v>
      </c>
      <c r="G70" s="22">
        <v>22</v>
      </c>
      <c r="H70" s="71">
        <f t="shared" si="9"/>
        <v>331.54</v>
      </c>
    </row>
    <row r="71" spans="1:14" x14ac:dyDescent="0.3">
      <c r="A71" s="1"/>
      <c r="B71" s="1"/>
      <c r="F71" s="22">
        <v>8.8000000000000007</v>
      </c>
      <c r="G71" s="22">
        <v>2.48</v>
      </c>
      <c r="H71" s="71">
        <f t="shared" si="9"/>
        <v>21.824000000000002</v>
      </c>
      <c r="K71" s="22" t="s">
        <v>84</v>
      </c>
    </row>
    <row r="72" spans="1:14" x14ac:dyDescent="0.3">
      <c r="A72" s="1"/>
      <c r="B72" s="1"/>
      <c r="F72" s="22">
        <v>23</v>
      </c>
      <c r="G72" s="22">
        <v>19.07</v>
      </c>
      <c r="H72" s="71">
        <f t="shared" si="9"/>
        <v>438.61</v>
      </c>
      <c r="K72" s="22" t="s">
        <v>74</v>
      </c>
      <c r="L72" s="22">
        <v>9586</v>
      </c>
    </row>
    <row r="73" spans="1:14" x14ac:dyDescent="0.3">
      <c r="A73" s="1"/>
      <c r="B73" s="1"/>
      <c r="F73" s="22">
        <v>6.71</v>
      </c>
      <c r="G73" s="22">
        <v>4.99</v>
      </c>
      <c r="H73" s="71">
        <f t="shared" si="9"/>
        <v>33.482900000000001</v>
      </c>
      <c r="K73" s="22" t="s">
        <v>75</v>
      </c>
      <c r="L73" s="22">
        <v>6775</v>
      </c>
    </row>
    <row r="74" spans="1:14" x14ac:dyDescent="0.3">
      <c r="A74" s="1"/>
      <c r="B74" s="1"/>
      <c r="F74" s="71">
        <v>9.85</v>
      </c>
      <c r="G74" s="22">
        <v>14.9</v>
      </c>
      <c r="H74" s="71">
        <f t="shared" si="9"/>
        <v>146.76499999999999</v>
      </c>
      <c r="K74" s="22" t="s">
        <v>76</v>
      </c>
      <c r="L74" s="22">
        <v>1725</v>
      </c>
    </row>
    <row r="75" spans="1:14" x14ac:dyDescent="0.3">
      <c r="A75" s="1"/>
      <c r="B75" s="1"/>
      <c r="F75" s="71">
        <v>9.09</v>
      </c>
      <c r="G75" s="22">
        <v>2</v>
      </c>
      <c r="H75" s="71">
        <f t="shared" si="9"/>
        <v>18.18</v>
      </c>
      <c r="K75" s="22" t="s">
        <v>77</v>
      </c>
      <c r="L75" s="22">
        <v>2000</v>
      </c>
    </row>
    <row r="76" spans="1:14" x14ac:dyDescent="0.3">
      <c r="A76" s="1"/>
      <c r="B76" s="1"/>
      <c r="F76" s="71">
        <v>10.48</v>
      </c>
      <c r="G76" s="22">
        <v>10.36</v>
      </c>
      <c r="H76" s="71">
        <f t="shared" si="9"/>
        <v>108.5728</v>
      </c>
      <c r="K76" s="22" t="s">
        <v>78</v>
      </c>
      <c r="L76" s="22">
        <v>1800</v>
      </c>
    </row>
    <row r="77" spans="1:14" x14ac:dyDescent="0.3">
      <c r="A77" s="1"/>
      <c r="B77" s="1"/>
      <c r="F77" s="71">
        <v>4.53</v>
      </c>
      <c r="G77" s="22">
        <v>10.48</v>
      </c>
      <c r="H77" s="71">
        <f t="shared" si="9"/>
        <v>47.474400000000003</v>
      </c>
      <c r="K77" s="22" t="s">
        <v>79</v>
      </c>
      <c r="L77" s="22">
        <v>2300</v>
      </c>
    </row>
    <row r="78" spans="1:14" x14ac:dyDescent="0.3">
      <c r="A78" s="1"/>
      <c r="B78" s="1"/>
      <c r="F78" s="71">
        <v>17.62</v>
      </c>
      <c r="G78" s="22">
        <v>26.74</v>
      </c>
      <c r="H78" s="71">
        <f t="shared" si="9"/>
        <v>471.15879999999999</v>
      </c>
      <c r="K78" s="22" t="s">
        <v>80</v>
      </c>
      <c r="L78" s="22">
        <v>9800</v>
      </c>
    </row>
    <row r="79" spans="1:14" x14ac:dyDescent="0.3">
      <c r="A79" s="1"/>
      <c r="B79" s="1"/>
      <c r="F79" s="71">
        <v>10</v>
      </c>
      <c r="G79" s="22">
        <v>6</v>
      </c>
      <c r="H79" s="71">
        <f t="shared" si="9"/>
        <v>60</v>
      </c>
      <c r="K79" s="22"/>
      <c r="L79" s="73">
        <f>SUM(L72:L78)</f>
        <v>33986</v>
      </c>
    </row>
    <row r="80" spans="1:14" x14ac:dyDescent="0.3">
      <c r="A80" s="1"/>
      <c r="B80" s="1"/>
      <c r="F80" s="71"/>
      <c r="G80" s="22"/>
      <c r="H80" s="22">
        <f>SUM(H68:H79)</f>
        <v>2053.1012000000001</v>
      </c>
    </row>
    <row r="81" spans="1:24" x14ac:dyDescent="0.3">
      <c r="A81" s="1"/>
      <c r="B81" s="1"/>
      <c r="F81" s="39"/>
    </row>
    <row r="82" spans="1:24" x14ac:dyDescent="0.3">
      <c r="A82" s="1"/>
      <c r="B82" s="1"/>
      <c r="F82" s="39" t="s">
        <v>62</v>
      </c>
    </row>
    <row r="83" spans="1:24" x14ac:dyDescent="0.3">
      <c r="A83" s="1"/>
      <c r="B83" s="1"/>
      <c r="F83" s="22">
        <v>9.91</v>
      </c>
      <c r="G83" s="22">
        <v>23.35</v>
      </c>
      <c r="H83" s="22">
        <f>F83*G83</f>
        <v>231.39850000000001</v>
      </c>
    </row>
    <row r="84" spans="1:24" x14ac:dyDescent="0.3">
      <c r="A84" s="1"/>
      <c r="B84" s="1"/>
      <c r="F84" s="22">
        <v>3.23</v>
      </c>
      <c r="G84" s="22">
        <v>4.8499999999999996</v>
      </c>
      <c r="H84" s="22">
        <f t="shared" ref="H84:H100" si="10">F84*G84</f>
        <v>15.665499999999998</v>
      </c>
    </row>
    <row r="85" spans="1:24" x14ac:dyDescent="0.3">
      <c r="A85" s="1"/>
      <c r="B85" s="1"/>
      <c r="F85" s="22">
        <v>14.58</v>
      </c>
      <c r="G85" s="22">
        <v>12.37</v>
      </c>
      <c r="H85" s="22">
        <f t="shared" si="10"/>
        <v>180.35459999999998</v>
      </c>
    </row>
    <row r="86" spans="1:24" x14ac:dyDescent="0.3">
      <c r="A86" s="1"/>
      <c r="B86" s="1"/>
      <c r="F86" s="22">
        <v>11.13</v>
      </c>
      <c r="G86" s="22">
        <v>10</v>
      </c>
      <c r="H86" s="22">
        <f t="shared" si="10"/>
        <v>111.30000000000001</v>
      </c>
    </row>
    <row r="87" spans="1:24" x14ac:dyDescent="0.3">
      <c r="A87" s="1"/>
      <c r="B87" s="1"/>
      <c r="F87" s="22">
        <v>8</v>
      </c>
      <c r="G87" s="22">
        <v>4</v>
      </c>
      <c r="H87" s="22">
        <f t="shared" si="10"/>
        <v>32</v>
      </c>
    </row>
    <row r="88" spans="1:24" x14ac:dyDescent="0.3">
      <c r="A88" s="1"/>
      <c r="B88" s="1"/>
      <c r="F88" s="22">
        <v>12.35</v>
      </c>
      <c r="G88" s="22">
        <v>15</v>
      </c>
      <c r="H88" s="22">
        <f t="shared" si="10"/>
        <v>185.25</v>
      </c>
    </row>
    <row r="89" spans="1:24" x14ac:dyDescent="0.3">
      <c r="A89" s="1"/>
      <c r="B89" s="1"/>
      <c r="F89" s="22">
        <v>5.27</v>
      </c>
      <c r="G89" s="22">
        <v>9.7100000000000009</v>
      </c>
      <c r="H89" s="22">
        <f t="shared" si="10"/>
        <v>51.171700000000001</v>
      </c>
    </row>
    <row r="90" spans="1:24" x14ac:dyDescent="0.3">
      <c r="A90" s="1"/>
      <c r="B90" s="1"/>
      <c r="F90" s="22">
        <v>14</v>
      </c>
      <c r="G90" s="22">
        <v>10</v>
      </c>
      <c r="H90" s="22">
        <f t="shared" si="10"/>
        <v>140</v>
      </c>
    </row>
    <row r="91" spans="1:24" x14ac:dyDescent="0.3">
      <c r="A91" s="1"/>
      <c r="B91" s="1"/>
      <c r="F91" s="22">
        <v>8</v>
      </c>
      <c r="G91" s="22">
        <v>4</v>
      </c>
      <c r="H91" s="22">
        <f t="shared" si="10"/>
        <v>32</v>
      </c>
    </row>
    <row r="92" spans="1:24" x14ac:dyDescent="0.3">
      <c r="A92" s="1"/>
      <c r="B92" s="1"/>
      <c r="F92" s="22">
        <v>9.85</v>
      </c>
      <c r="G92" s="22">
        <v>14.9</v>
      </c>
      <c r="H92" s="22">
        <f t="shared" si="10"/>
        <v>146.76499999999999</v>
      </c>
    </row>
    <row r="93" spans="1:24" x14ac:dyDescent="0.3">
      <c r="A93" s="1"/>
      <c r="B93" s="1"/>
      <c r="F93" s="22">
        <v>4</v>
      </c>
      <c r="G93" s="22">
        <v>8</v>
      </c>
      <c r="H93" s="22">
        <f t="shared" si="10"/>
        <v>32</v>
      </c>
      <c r="Q93" s="35"/>
    </row>
    <row r="94" spans="1:24" ht="17.25" thickBot="1" x14ac:dyDescent="0.35">
      <c r="A94" s="1"/>
      <c r="B94" s="1"/>
      <c r="F94" s="22">
        <v>11</v>
      </c>
      <c r="G94" s="22">
        <v>14</v>
      </c>
      <c r="H94" s="22">
        <f t="shared" si="10"/>
        <v>154</v>
      </c>
      <c r="Q94" s="35"/>
      <c r="R94" s="74"/>
      <c r="V94" s="75">
        <v>1</v>
      </c>
      <c r="W94" s="76">
        <v>7939</v>
      </c>
      <c r="X94" s="77"/>
    </row>
    <row r="95" spans="1:24" ht="17.25" thickBot="1" x14ac:dyDescent="0.35">
      <c r="A95" s="1"/>
      <c r="B95" s="1"/>
      <c r="F95" s="22">
        <v>5</v>
      </c>
      <c r="G95" s="22">
        <v>8</v>
      </c>
      <c r="H95" s="22">
        <f t="shared" si="10"/>
        <v>40</v>
      </c>
      <c r="Q95" s="35"/>
      <c r="V95" s="75">
        <v>2</v>
      </c>
      <c r="W95" s="78">
        <v>467</v>
      </c>
      <c r="X95" s="79" t="s">
        <v>85</v>
      </c>
    </row>
    <row r="96" spans="1:24" ht="17.25" thickBot="1" x14ac:dyDescent="0.35">
      <c r="A96" s="1"/>
      <c r="B96" s="1"/>
      <c r="F96" s="22">
        <v>10</v>
      </c>
      <c r="G96" s="22">
        <v>12</v>
      </c>
      <c r="H96" s="22">
        <f t="shared" si="10"/>
        <v>120</v>
      </c>
      <c r="Q96" s="35"/>
      <c r="R96" s="74"/>
      <c r="V96" s="75">
        <v>3</v>
      </c>
      <c r="W96" s="78">
        <v>934</v>
      </c>
      <c r="X96" s="79" t="s">
        <v>86</v>
      </c>
    </row>
    <row r="97" spans="1:24" ht="17.25" thickBot="1" x14ac:dyDescent="0.35">
      <c r="A97" s="1"/>
      <c r="B97" s="1"/>
      <c r="F97" s="22">
        <v>4</v>
      </c>
      <c r="G97" s="22">
        <v>9</v>
      </c>
      <c r="H97" s="22">
        <f t="shared" si="10"/>
        <v>36</v>
      </c>
      <c r="Q97" s="35"/>
      <c r="V97" s="75">
        <v>4</v>
      </c>
      <c r="W97" s="76">
        <v>5113.6000000000004</v>
      </c>
      <c r="X97" s="77"/>
    </row>
    <row r="98" spans="1:24" ht="17.25" thickBot="1" x14ac:dyDescent="0.35">
      <c r="A98" s="1"/>
      <c r="B98" s="1"/>
      <c r="F98" s="22">
        <v>11</v>
      </c>
      <c r="G98" s="22">
        <v>13</v>
      </c>
      <c r="H98" s="22">
        <f t="shared" si="10"/>
        <v>143</v>
      </c>
      <c r="Q98" s="71"/>
      <c r="R98" s="74"/>
      <c r="V98" s="75">
        <v>5</v>
      </c>
      <c r="W98" s="78">
        <v>300.8</v>
      </c>
      <c r="X98" s="79" t="s">
        <v>85</v>
      </c>
    </row>
    <row r="99" spans="1:24" ht="17.25" thickBot="1" x14ac:dyDescent="0.35">
      <c r="A99" s="1"/>
      <c r="B99" s="1"/>
      <c r="F99" s="22">
        <v>4</v>
      </c>
      <c r="G99" s="22">
        <v>8</v>
      </c>
      <c r="H99" s="22">
        <f t="shared" si="10"/>
        <v>32</v>
      </c>
      <c r="Q99" s="71"/>
      <c r="R99" s="74"/>
      <c r="V99" s="75">
        <v>6</v>
      </c>
      <c r="W99" s="78">
        <v>601.6</v>
      </c>
      <c r="X99" s="79" t="s">
        <v>86</v>
      </c>
    </row>
    <row r="100" spans="1:24" ht="17.25" thickBot="1" x14ac:dyDescent="0.35">
      <c r="A100" s="1"/>
      <c r="B100" s="1"/>
      <c r="F100" s="22">
        <v>11.63</v>
      </c>
      <c r="G100" s="22">
        <v>29.46</v>
      </c>
      <c r="H100" s="22">
        <f t="shared" si="10"/>
        <v>342.61980000000005</v>
      </c>
      <c r="Q100" s="71"/>
      <c r="R100" s="74"/>
      <c r="V100" s="75">
        <v>7</v>
      </c>
      <c r="W100" s="76">
        <v>5774.55</v>
      </c>
      <c r="X100" s="77"/>
    </row>
    <row r="101" spans="1:24" ht="17.25" thickBot="1" x14ac:dyDescent="0.35">
      <c r="A101" s="1"/>
      <c r="B101" s="1"/>
      <c r="F101" s="22"/>
      <c r="G101" s="22"/>
      <c r="H101" s="22">
        <f>SUM(H83:H100)</f>
        <v>2025.5250999999998</v>
      </c>
      <c r="Q101" s="22"/>
      <c r="R101" s="74"/>
      <c r="V101" s="75">
        <v>8</v>
      </c>
      <c r="W101" s="76">
        <v>5616.8</v>
      </c>
      <c r="X101" s="77"/>
    </row>
    <row r="102" spans="1:24" ht="17.25" thickBot="1" x14ac:dyDescent="0.35">
      <c r="A102" s="1"/>
      <c r="B102" s="1"/>
      <c r="Q102" s="22"/>
      <c r="R102" s="74"/>
      <c r="V102" s="75">
        <v>9</v>
      </c>
      <c r="W102" s="78">
        <v>660.8</v>
      </c>
      <c r="X102" s="79" t="s">
        <v>86</v>
      </c>
    </row>
    <row r="103" spans="1:24" ht="17.25" thickBot="1" x14ac:dyDescent="0.35">
      <c r="A103" s="1"/>
      <c r="B103" s="1"/>
      <c r="Q103" s="22"/>
      <c r="R103" s="74"/>
      <c r="V103" s="75">
        <v>10</v>
      </c>
      <c r="W103" s="78">
        <v>330.4</v>
      </c>
      <c r="X103" s="79" t="s">
        <v>85</v>
      </c>
    </row>
    <row r="104" spans="1:24" ht="17.25" thickBot="1" x14ac:dyDescent="0.35">
      <c r="A104" s="1"/>
      <c r="B104" s="1"/>
      <c r="Q104" s="22"/>
      <c r="R104" s="74"/>
      <c r="V104" s="75">
        <v>11</v>
      </c>
      <c r="W104" s="76">
        <v>2669</v>
      </c>
      <c r="X104" s="77"/>
    </row>
    <row r="105" spans="1:24" ht="17.25" thickBot="1" x14ac:dyDescent="0.35">
      <c r="A105" s="1"/>
      <c r="B105" s="1"/>
      <c r="Q105" s="22"/>
      <c r="R105" s="74"/>
      <c r="V105" s="75">
        <v>12</v>
      </c>
      <c r="W105" s="78">
        <v>601.15</v>
      </c>
      <c r="X105" s="79" t="s">
        <v>85</v>
      </c>
    </row>
    <row r="106" spans="1:24" ht="17.25" thickBot="1" x14ac:dyDescent="0.35">
      <c r="A106" s="1"/>
      <c r="B106" s="1"/>
      <c r="Q106" s="22"/>
      <c r="R106" s="74"/>
      <c r="V106" s="75">
        <v>13</v>
      </c>
      <c r="W106" s="76">
        <v>1202.3</v>
      </c>
      <c r="X106" s="79" t="s">
        <v>86</v>
      </c>
    </row>
    <row r="107" spans="1:24" ht="17.25" thickBot="1" x14ac:dyDescent="0.35">
      <c r="A107" s="1"/>
      <c r="B107" s="1"/>
      <c r="Q107" s="22"/>
      <c r="R107" s="74"/>
      <c r="V107" s="75">
        <v>14</v>
      </c>
      <c r="W107" s="78">
        <v>215</v>
      </c>
      <c r="X107" s="79" t="s">
        <v>87</v>
      </c>
    </row>
    <row r="108" spans="1:24" ht="17.25" thickBot="1" x14ac:dyDescent="0.35">
      <c r="A108" s="1"/>
      <c r="B108" s="1"/>
      <c r="Q108" s="7"/>
      <c r="V108" s="75">
        <v>15</v>
      </c>
      <c r="W108" s="76">
        <v>1560</v>
      </c>
      <c r="X108" s="79" t="s">
        <v>87</v>
      </c>
    </row>
    <row r="109" spans="1:24" x14ac:dyDescent="0.3">
      <c r="A109" s="1"/>
      <c r="B109" s="1"/>
      <c r="Q109" s="22"/>
      <c r="R109" s="74"/>
      <c r="W109" s="18">
        <f>SUM(W94:W108)</f>
        <v>33986</v>
      </c>
    </row>
    <row r="110" spans="1:24" x14ac:dyDescent="0.3">
      <c r="A110" s="1"/>
      <c r="B110" s="1"/>
      <c r="Q110" s="22"/>
      <c r="R110" s="74"/>
    </row>
    <row r="111" spans="1:24" x14ac:dyDescent="0.3">
      <c r="A111" s="1"/>
      <c r="B111" s="1"/>
      <c r="Q111" s="22"/>
      <c r="R111" s="74"/>
    </row>
    <row r="112" spans="1:24" x14ac:dyDescent="0.3">
      <c r="A112" s="1"/>
      <c r="B112" s="1"/>
      <c r="Q112" s="22"/>
      <c r="R112" s="74"/>
      <c r="W112" s="18"/>
    </row>
    <row r="113" spans="1:19" x14ac:dyDescent="0.3">
      <c r="A113" s="1"/>
      <c r="B113" s="1"/>
    </row>
    <row r="114" spans="1:19" ht="17.25" thickBot="1" x14ac:dyDescent="0.35">
      <c r="A114" s="1"/>
      <c r="B114" s="1"/>
      <c r="N114" s="22"/>
      <c r="O114" s="73" t="s">
        <v>88</v>
      </c>
      <c r="P114" s="22"/>
      <c r="Q114" s="22"/>
      <c r="R114" s="22" t="s">
        <v>89</v>
      </c>
      <c r="S114" s="22"/>
    </row>
    <row r="115" spans="1:19" ht="17.25" thickBot="1" x14ac:dyDescent="0.35">
      <c r="A115" s="1"/>
      <c r="B115" s="1"/>
      <c r="K115" s="22" t="s">
        <v>81</v>
      </c>
      <c r="N115" s="80" t="s">
        <v>90</v>
      </c>
      <c r="O115" s="22" t="s">
        <v>47</v>
      </c>
      <c r="P115" s="22"/>
      <c r="Q115" s="22"/>
      <c r="R115" s="22"/>
      <c r="S115" s="22"/>
    </row>
    <row r="116" spans="1:19" ht="17.25" thickBot="1" x14ac:dyDescent="0.35">
      <c r="A116" s="1"/>
      <c r="B116" s="1"/>
      <c r="K116" s="22">
        <v>9586</v>
      </c>
      <c r="N116" s="81">
        <v>7</v>
      </c>
      <c r="O116" s="82">
        <v>6178</v>
      </c>
      <c r="P116" s="22"/>
      <c r="Q116" s="22"/>
      <c r="R116" s="81">
        <v>7</v>
      </c>
      <c r="S116" s="83">
        <v>5774.55</v>
      </c>
    </row>
    <row r="117" spans="1:19" ht="17.25" thickBot="1" x14ac:dyDescent="0.35">
      <c r="A117" s="1"/>
      <c r="B117" s="1"/>
      <c r="K117" s="22"/>
      <c r="N117" s="81">
        <v>12</v>
      </c>
      <c r="O117" s="84">
        <v>554</v>
      </c>
      <c r="P117" s="22"/>
      <c r="Q117" s="22"/>
      <c r="R117" s="81">
        <v>12</v>
      </c>
      <c r="S117" s="85">
        <v>601.15</v>
      </c>
    </row>
    <row r="118" spans="1:19" ht="17.25" thickBot="1" x14ac:dyDescent="0.35">
      <c r="A118" s="1"/>
      <c r="B118" s="1"/>
      <c r="K118" s="22" t="s">
        <v>82</v>
      </c>
      <c r="N118" s="81">
        <v>13</v>
      </c>
      <c r="O118" s="82">
        <v>1197</v>
      </c>
      <c r="P118" s="22"/>
      <c r="Q118" s="22"/>
      <c r="R118" s="81">
        <v>13</v>
      </c>
      <c r="S118" s="83">
        <v>1202.3</v>
      </c>
    </row>
    <row r="119" spans="1:19" ht="17.25" thickBot="1" x14ac:dyDescent="0.35">
      <c r="A119" s="1"/>
      <c r="B119" s="1"/>
      <c r="K119" s="22">
        <v>9353</v>
      </c>
      <c r="N119" s="81">
        <v>14</v>
      </c>
      <c r="O119" s="84">
        <v>215</v>
      </c>
      <c r="P119" s="22"/>
      <c r="Q119" s="22"/>
      <c r="R119" s="81">
        <v>14</v>
      </c>
      <c r="S119" s="86">
        <v>215</v>
      </c>
    </row>
    <row r="120" spans="1:19" ht="17.25" thickBot="1" x14ac:dyDescent="0.35">
      <c r="A120" s="1"/>
      <c r="B120" s="1"/>
      <c r="K120" s="22"/>
      <c r="N120" s="81">
        <v>15</v>
      </c>
      <c r="O120" s="82">
        <v>1560</v>
      </c>
      <c r="P120" s="22"/>
      <c r="Q120" s="22"/>
      <c r="R120" s="81">
        <v>15</v>
      </c>
      <c r="S120" s="83">
        <v>1560</v>
      </c>
    </row>
    <row r="121" spans="1:19" x14ac:dyDescent="0.3">
      <c r="A121" s="1"/>
      <c r="B121" s="1"/>
      <c r="K121" s="65" t="s">
        <v>83</v>
      </c>
      <c r="N121" s="22"/>
      <c r="O121" s="67">
        <f>SUM(O116:O120)</f>
        <v>9704</v>
      </c>
      <c r="P121" s="22"/>
      <c r="Q121" s="67"/>
      <c r="R121" s="22"/>
      <c r="S121" s="67">
        <f>SUM(S116:S120)</f>
        <v>9353</v>
      </c>
    </row>
    <row r="122" spans="1:19" x14ac:dyDescent="0.3">
      <c r="A122" s="1"/>
      <c r="B122" s="1"/>
      <c r="K122" s="22">
        <f>K116-K119</f>
        <v>233</v>
      </c>
    </row>
    <row r="123" spans="1:19" x14ac:dyDescent="0.3">
      <c r="A123" s="1"/>
      <c r="B123" s="1"/>
    </row>
    <row r="124" spans="1:19" x14ac:dyDescent="0.3">
      <c r="A124" s="1"/>
      <c r="B124" s="1"/>
    </row>
    <row r="125" spans="1:19" x14ac:dyDescent="0.3">
      <c r="A125" s="1"/>
      <c r="B125" s="1"/>
    </row>
    <row r="126" spans="1:19" x14ac:dyDescent="0.3">
      <c r="A126" s="1"/>
      <c r="B126" s="1"/>
    </row>
    <row r="127" spans="1:19" x14ac:dyDescent="0.3">
      <c r="A127" s="1"/>
      <c r="B127" s="1"/>
    </row>
    <row r="128" spans="1:19" x14ac:dyDescent="0.3">
      <c r="A128" s="1"/>
      <c r="B128" s="1"/>
    </row>
    <row r="129" spans="1:2" x14ac:dyDescent="0.3">
      <c r="A129" s="1"/>
      <c r="B129" s="1"/>
    </row>
    <row r="130" spans="1:2" x14ac:dyDescent="0.3">
      <c r="A130" s="1"/>
      <c r="B130" s="1"/>
    </row>
    <row r="131" spans="1:2" x14ac:dyDescent="0.3">
      <c r="A131" s="1"/>
      <c r="B131" s="1"/>
    </row>
    <row r="132" spans="1:2" x14ac:dyDescent="0.3">
      <c r="A132" s="1"/>
      <c r="B132" s="1"/>
    </row>
    <row r="133" spans="1:2" x14ac:dyDescent="0.3">
      <c r="A133" s="1"/>
      <c r="B133" s="1"/>
    </row>
    <row r="134" spans="1:2" x14ac:dyDescent="0.3">
      <c r="A134" s="1"/>
      <c r="B134" s="1"/>
    </row>
    <row r="135" spans="1:2" x14ac:dyDescent="0.3">
      <c r="A135" s="1"/>
      <c r="B135" s="1"/>
    </row>
    <row r="136" spans="1:2" x14ac:dyDescent="0.3">
      <c r="A136" s="1"/>
      <c r="B136" s="1"/>
    </row>
    <row r="137" spans="1:2" x14ac:dyDescent="0.3">
      <c r="A137" s="1"/>
      <c r="B137" s="1"/>
    </row>
    <row r="138" spans="1:2" x14ac:dyDescent="0.3">
      <c r="A138" s="1"/>
      <c r="B138" s="1"/>
    </row>
    <row r="139" spans="1:2" x14ac:dyDescent="0.3">
      <c r="A139" s="1"/>
      <c r="B139" s="1"/>
    </row>
    <row r="140" spans="1:2" x14ac:dyDescent="0.3">
      <c r="A140" s="1"/>
      <c r="B140" s="1"/>
    </row>
    <row r="141" spans="1:2" x14ac:dyDescent="0.3">
      <c r="A141" s="1"/>
      <c r="B141" s="1"/>
    </row>
    <row r="142" spans="1:2" x14ac:dyDescent="0.3">
      <c r="A142" s="1"/>
      <c r="B142" s="1"/>
    </row>
    <row r="143" spans="1:2" x14ac:dyDescent="0.3">
      <c r="A143" s="1"/>
      <c r="B143" s="1"/>
    </row>
    <row r="144" spans="1:2" x14ac:dyDescent="0.3">
      <c r="A144" s="1"/>
      <c r="B144" s="1"/>
    </row>
    <row r="145" spans="1:11" ht="17.25" thickBot="1" x14ac:dyDescent="0.35">
      <c r="A145" s="1"/>
      <c r="B145" s="1"/>
    </row>
    <row r="146" spans="1:11" ht="17.25" thickBot="1" x14ac:dyDescent="0.35">
      <c r="A146" s="1"/>
      <c r="B146" s="1"/>
      <c r="K146" s="87">
        <v>9586</v>
      </c>
    </row>
    <row r="147" spans="1:11" ht="17.25" thickBot="1" x14ac:dyDescent="0.35">
      <c r="A147" s="1"/>
      <c r="B147" s="1"/>
      <c r="K147" s="88">
        <v>6775</v>
      </c>
    </row>
    <row r="148" spans="1:11" ht="17.25" thickBot="1" x14ac:dyDescent="0.35">
      <c r="A148" s="1"/>
      <c r="B148" s="1"/>
      <c r="K148" s="88">
        <v>1725</v>
      </c>
    </row>
    <row r="149" spans="1:11" ht="17.25" thickBot="1" x14ac:dyDescent="0.35">
      <c r="A149" s="1"/>
      <c r="B149" s="1"/>
      <c r="K149" s="88">
        <v>2000</v>
      </c>
    </row>
    <row r="150" spans="1:11" ht="17.25" thickBot="1" x14ac:dyDescent="0.35">
      <c r="A150" s="1"/>
      <c r="B150" s="1"/>
      <c r="K150" s="88">
        <v>1800</v>
      </c>
    </row>
    <row r="151" spans="1:11" ht="17.25" thickBot="1" x14ac:dyDescent="0.35">
      <c r="A151" s="1"/>
      <c r="B151" s="1"/>
      <c r="K151" s="88">
        <v>2300</v>
      </c>
    </row>
    <row r="152" spans="1:11" ht="17.25" thickBot="1" x14ac:dyDescent="0.35">
      <c r="A152" s="1"/>
      <c r="B152" s="1"/>
      <c r="K152" s="88">
        <v>9800</v>
      </c>
    </row>
    <row r="153" spans="1:11" ht="17.25" thickBot="1" x14ac:dyDescent="0.35">
      <c r="A153" s="1"/>
      <c r="B153" s="1"/>
      <c r="K153" s="89">
        <v>33986</v>
      </c>
    </row>
    <row r="154" spans="1:11" x14ac:dyDescent="0.3">
      <c r="A154" s="1"/>
      <c r="B154" s="1"/>
    </row>
    <row r="155" spans="1:11" x14ac:dyDescent="0.3">
      <c r="A155" s="1"/>
      <c r="B155" s="1"/>
    </row>
    <row r="156" spans="1:11" x14ac:dyDescent="0.3">
      <c r="A156" s="1"/>
      <c r="B156" s="1"/>
    </row>
    <row r="157" spans="1:11" x14ac:dyDescent="0.3">
      <c r="A157" s="1"/>
      <c r="B157" s="1"/>
    </row>
    <row r="158" spans="1:11" x14ac:dyDescent="0.3">
      <c r="A158" s="1"/>
      <c r="B158" s="1"/>
    </row>
    <row r="159" spans="1:11" x14ac:dyDescent="0.3">
      <c r="A159" s="1"/>
      <c r="B159" s="1"/>
    </row>
    <row r="160" spans="1:11" x14ac:dyDescent="0.3">
      <c r="A160" s="1"/>
      <c r="B160" s="1"/>
    </row>
    <row r="161" spans="1:2" x14ac:dyDescent="0.3">
      <c r="A161" s="1"/>
      <c r="B161" s="1"/>
    </row>
    <row r="162" spans="1:2" x14ac:dyDescent="0.3">
      <c r="A162" s="1"/>
      <c r="B162" s="1"/>
    </row>
    <row r="163" spans="1:2" x14ac:dyDescent="0.3">
      <c r="A163" s="1"/>
      <c r="B163" s="1"/>
    </row>
    <row r="164" spans="1:2" x14ac:dyDescent="0.3">
      <c r="A164" s="1"/>
      <c r="B164" s="1"/>
    </row>
    <row r="165" spans="1:2" x14ac:dyDescent="0.3">
      <c r="A165" s="1"/>
      <c r="B165" s="1"/>
    </row>
    <row r="166" spans="1:2" x14ac:dyDescent="0.3">
      <c r="A166" s="1"/>
      <c r="B166" s="1"/>
    </row>
    <row r="167" spans="1:2" x14ac:dyDescent="0.3">
      <c r="A167" s="1"/>
      <c r="B167" s="1"/>
    </row>
    <row r="168" spans="1:2" x14ac:dyDescent="0.3">
      <c r="A168" s="1"/>
      <c r="B168" s="1"/>
    </row>
    <row r="169" spans="1:2" x14ac:dyDescent="0.3">
      <c r="A169" s="1"/>
      <c r="B169" s="1"/>
    </row>
    <row r="170" spans="1:2" x14ac:dyDescent="0.3">
      <c r="A170" s="1"/>
      <c r="B170" s="1"/>
    </row>
    <row r="171" spans="1:2" x14ac:dyDescent="0.3">
      <c r="A171" s="1"/>
      <c r="B171" s="1"/>
    </row>
    <row r="172" spans="1:2" x14ac:dyDescent="0.3">
      <c r="A172" s="1"/>
      <c r="B172" s="1"/>
    </row>
    <row r="173" spans="1:2" x14ac:dyDescent="0.3">
      <c r="A173" s="1"/>
      <c r="B173" s="1"/>
    </row>
  </sheetData>
  <mergeCells count="2">
    <mergeCell ref="B18:C18"/>
    <mergeCell ref="B23:C23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F0403A-A748-4E73-8E65-1EEC22D52D46}">
  <dimension ref="A1:AA27"/>
  <sheetViews>
    <sheetView workbookViewId="0">
      <selection activeCell="I3" sqref="I3"/>
    </sheetView>
  </sheetViews>
  <sheetFormatPr defaultRowHeight="15" x14ac:dyDescent="0.25"/>
  <cols>
    <col min="1" max="1" width="11.28515625" style="103" bestFit="1" customWidth="1"/>
    <col min="2" max="2" width="13.42578125" style="103" bestFit="1" customWidth="1"/>
    <col min="3" max="4" width="12.5703125" style="103" customWidth="1"/>
    <col min="5" max="6" width="9.28515625" style="103" bestFit="1" customWidth="1"/>
    <col min="7" max="7" width="13.28515625" style="103" customWidth="1"/>
    <col min="8" max="8" width="13.42578125" style="103" bestFit="1" customWidth="1"/>
    <col min="9" max="9" width="11.7109375" style="103" bestFit="1" customWidth="1"/>
    <col min="10" max="12" width="11.7109375" style="103" customWidth="1"/>
    <col min="13" max="13" width="9.28515625" style="103" bestFit="1" customWidth="1"/>
    <col min="14" max="14" width="11.7109375" style="103" customWidth="1"/>
    <col min="15" max="16" width="9.28515625" style="103" bestFit="1" customWidth="1"/>
    <col min="17" max="17" width="10.7109375" style="103" bestFit="1" customWidth="1"/>
    <col min="18" max="18" width="11.85546875" style="103" bestFit="1" customWidth="1"/>
    <col min="19" max="19" width="13.42578125" style="103" bestFit="1" customWidth="1"/>
    <col min="20" max="20" width="10.7109375" style="103" bestFit="1" customWidth="1"/>
    <col min="21" max="21" width="13.5703125" style="103" customWidth="1"/>
    <col min="22" max="22" width="13.42578125" style="103" customWidth="1"/>
    <col min="23" max="23" width="21" style="103" bestFit="1" customWidth="1"/>
    <col min="24" max="24" width="14.140625" style="103" customWidth="1"/>
    <col min="25" max="25" width="9.7109375" style="103" bestFit="1" customWidth="1"/>
    <col min="26" max="26" width="19.85546875" style="103" bestFit="1" customWidth="1"/>
    <col min="27" max="16384" width="9.140625" style="103"/>
  </cols>
  <sheetData>
    <row r="1" spans="1:27" s="100" customFormat="1" ht="105" x14ac:dyDescent="0.25">
      <c r="A1" s="99" t="s">
        <v>94</v>
      </c>
      <c r="B1" s="99" t="s">
        <v>7</v>
      </c>
      <c r="C1" s="99" t="s">
        <v>95</v>
      </c>
      <c r="D1" s="99" t="s">
        <v>96</v>
      </c>
      <c r="E1" s="99" t="str">
        <f t="shared" ref="E1:K16" si="0">U1</f>
        <v>Construction Area</v>
      </c>
      <c r="F1" s="99" t="str">
        <f t="shared" si="0"/>
        <v>Cost of Construction</v>
      </c>
      <c r="G1" s="99" t="str">
        <f t="shared" si="0"/>
        <v>Construction value</v>
      </c>
      <c r="H1" s="99" t="str">
        <f t="shared" si="0"/>
        <v>Land Value (Including Land development)</v>
      </c>
      <c r="I1" s="99" t="str">
        <f t="shared" si="0"/>
        <v>Land Rate (Including Development) per Sq. M.</v>
      </c>
      <c r="J1" s="99" t="str">
        <f>Z1</f>
        <v>Location</v>
      </c>
      <c r="K1" s="99" t="str">
        <f>AA1</f>
        <v>Distance</v>
      </c>
      <c r="L1" s="99"/>
      <c r="M1" s="100" t="s">
        <v>97</v>
      </c>
      <c r="N1" s="100" t="s">
        <v>98</v>
      </c>
      <c r="O1" s="100" t="s">
        <v>99</v>
      </c>
      <c r="P1" s="100" t="s">
        <v>100</v>
      </c>
      <c r="Q1" s="100" t="s">
        <v>101</v>
      </c>
      <c r="R1" s="100" t="s">
        <v>102</v>
      </c>
      <c r="S1" s="100" t="s">
        <v>7</v>
      </c>
      <c r="T1" s="100" t="s">
        <v>6</v>
      </c>
      <c r="U1" s="101" t="s">
        <v>103</v>
      </c>
      <c r="V1" s="101" t="s">
        <v>104</v>
      </c>
      <c r="W1" s="100" t="s">
        <v>105</v>
      </c>
      <c r="X1" s="100" t="s">
        <v>106</v>
      </c>
      <c r="Y1" s="100" t="s">
        <v>107</v>
      </c>
      <c r="Z1" s="100" t="s">
        <v>108</v>
      </c>
      <c r="AA1" s="100" t="s">
        <v>109</v>
      </c>
    </row>
    <row r="2" spans="1:27" x14ac:dyDescent="0.25">
      <c r="A2" s="102">
        <f t="shared" ref="A2:C17" si="1">R2</f>
        <v>5362.0080846907231</v>
      </c>
      <c r="B2" s="102">
        <f t="shared" si="1"/>
        <v>68900000</v>
      </c>
      <c r="C2" s="102">
        <f t="shared" si="1"/>
        <v>12850</v>
      </c>
      <c r="D2" s="102">
        <f t="shared" ref="D2:D18" si="2">ROUND((C2/10.764),0)</f>
        <v>1194</v>
      </c>
      <c r="E2" s="99">
        <f t="shared" si="0"/>
        <v>0</v>
      </c>
      <c r="F2" s="99">
        <f t="shared" si="0"/>
        <v>0</v>
      </c>
      <c r="G2" s="99">
        <f t="shared" si="0"/>
        <v>0</v>
      </c>
      <c r="H2" s="99">
        <f t="shared" si="0"/>
        <v>68900000</v>
      </c>
      <c r="I2" s="99">
        <f t="shared" si="0"/>
        <v>12849.663579717282</v>
      </c>
      <c r="J2" s="99">
        <f t="shared" si="0"/>
        <v>0</v>
      </c>
      <c r="K2" s="99">
        <f t="shared" si="0"/>
        <v>0</v>
      </c>
      <c r="L2" s="99"/>
      <c r="M2" s="103">
        <v>0</v>
      </c>
      <c r="N2" s="103">
        <f t="shared" ref="N2:N18" si="3">M2*2.47107605477881</f>
        <v>0</v>
      </c>
      <c r="O2" s="103">
        <v>53</v>
      </c>
      <c r="P2" s="103">
        <f t="shared" ref="P2:P18" si="4">O2*121.0167464</f>
        <v>6413.8875592000004</v>
      </c>
      <c r="Q2" s="103">
        <f t="shared" ref="Q2:Q18" si="5">P2*8.99870078651798</f>
        <v>57716.65502361094</v>
      </c>
      <c r="R2" s="103">
        <f t="shared" ref="R2:R18" si="6">Q2/10.764</f>
        <v>5362.0080846907231</v>
      </c>
      <c r="S2" s="103">
        <v>68900000</v>
      </c>
      <c r="T2" s="103">
        <f t="shared" ref="T2:T18" si="7">ROUND((S2/R2),0)</f>
        <v>12850</v>
      </c>
      <c r="U2" s="102">
        <v>0</v>
      </c>
      <c r="V2" s="103">
        <v>0</v>
      </c>
      <c r="W2" s="103">
        <f t="shared" ref="W2:W18" si="8">U2*V2</f>
        <v>0</v>
      </c>
      <c r="X2" s="103">
        <f t="shared" ref="X2:X18" si="9">S2-W2</f>
        <v>68900000</v>
      </c>
      <c r="Y2" s="103">
        <f t="shared" ref="Y2:Y18" si="10">X2/R2</f>
        <v>12849.663579717282</v>
      </c>
    </row>
    <row r="3" spans="1:27" x14ac:dyDescent="0.25">
      <c r="A3" s="102">
        <f t="shared" si="1"/>
        <v>4046.8185544764219</v>
      </c>
      <c r="B3" s="102">
        <f t="shared" si="1"/>
        <v>64000000</v>
      </c>
      <c r="C3" s="102">
        <f t="shared" si="1"/>
        <v>15815</v>
      </c>
      <c r="D3" s="102">
        <f t="shared" si="2"/>
        <v>1469</v>
      </c>
      <c r="E3" s="99">
        <f t="shared" si="0"/>
        <v>0</v>
      </c>
      <c r="F3" s="99">
        <f t="shared" si="0"/>
        <v>0</v>
      </c>
      <c r="G3" s="99">
        <f t="shared" si="0"/>
        <v>0</v>
      </c>
      <c r="H3" s="99">
        <f t="shared" si="0"/>
        <v>64000000</v>
      </c>
      <c r="I3" s="99">
        <f t="shared" si="0"/>
        <v>15814.89239966192</v>
      </c>
      <c r="J3" s="99">
        <f t="shared" si="0"/>
        <v>0</v>
      </c>
      <c r="K3" s="99">
        <f t="shared" si="0"/>
        <v>0</v>
      </c>
      <c r="L3" s="99"/>
      <c r="M3" s="103">
        <v>0</v>
      </c>
      <c r="N3" s="103">
        <v>1</v>
      </c>
      <c r="O3" s="103">
        <f t="shared" ref="O3:O18" si="11">N3*40.0001976870614</f>
        <v>40.000197687061402</v>
      </c>
      <c r="P3" s="103">
        <f t="shared" si="4"/>
        <v>4840.6937794449759</v>
      </c>
      <c r="Q3" s="103">
        <f t="shared" si="5"/>
        <v>43559.954920384203</v>
      </c>
      <c r="R3" s="103">
        <f t="shared" si="6"/>
        <v>4046.8185544764219</v>
      </c>
      <c r="S3" s="103">
        <v>64000000</v>
      </c>
      <c r="T3" s="103">
        <f t="shared" si="7"/>
        <v>15815</v>
      </c>
      <c r="U3" s="102">
        <v>0</v>
      </c>
      <c r="V3" s="103">
        <v>0</v>
      </c>
      <c r="W3" s="103">
        <f t="shared" si="8"/>
        <v>0</v>
      </c>
      <c r="X3" s="103">
        <f t="shared" si="9"/>
        <v>64000000</v>
      </c>
      <c r="Y3" s="103">
        <f t="shared" si="10"/>
        <v>15814.89239966192</v>
      </c>
    </row>
    <row r="4" spans="1:27" x14ac:dyDescent="0.25">
      <c r="A4" s="102">
        <f t="shared" si="1"/>
        <v>0</v>
      </c>
      <c r="B4" s="102">
        <f t="shared" si="1"/>
        <v>0</v>
      </c>
      <c r="C4" s="102" t="e">
        <f t="shared" si="1"/>
        <v>#DIV/0!</v>
      </c>
      <c r="D4" s="102" t="e">
        <f t="shared" si="2"/>
        <v>#DIV/0!</v>
      </c>
      <c r="E4" s="99">
        <f t="shared" si="0"/>
        <v>0</v>
      </c>
      <c r="F4" s="99">
        <f t="shared" si="0"/>
        <v>0</v>
      </c>
      <c r="G4" s="99">
        <f t="shared" si="0"/>
        <v>0</v>
      </c>
      <c r="H4" s="99">
        <f t="shared" si="0"/>
        <v>0</v>
      </c>
      <c r="I4" s="99" t="e">
        <f t="shared" si="0"/>
        <v>#DIV/0!</v>
      </c>
      <c r="J4" s="99">
        <f t="shared" si="0"/>
        <v>0</v>
      </c>
      <c r="K4" s="99">
        <f t="shared" si="0"/>
        <v>0</v>
      </c>
      <c r="L4" s="99"/>
      <c r="M4" s="103">
        <v>0</v>
      </c>
      <c r="N4" s="103">
        <f t="shared" si="3"/>
        <v>0</v>
      </c>
      <c r="O4" s="103">
        <f t="shared" si="11"/>
        <v>0</v>
      </c>
      <c r="P4" s="103">
        <f t="shared" si="4"/>
        <v>0</v>
      </c>
      <c r="Q4" s="103">
        <f t="shared" si="5"/>
        <v>0</v>
      </c>
      <c r="R4" s="103">
        <f t="shared" si="6"/>
        <v>0</v>
      </c>
      <c r="S4" s="103">
        <v>0</v>
      </c>
      <c r="T4" s="103" t="e">
        <f t="shared" si="7"/>
        <v>#DIV/0!</v>
      </c>
      <c r="U4" s="102">
        <v>0</v>
      </c>
      <c r="V4" s="103">
        <v>0</v>
      </c>
      <c r="W4" s="103">
        <f t="shared" si="8"/>
        <v>0</v>
      </c>
      <c r="X4" s="103">
        <f t="shared" si="9"/>
        <v>0</v>
      </c>
      <c r="Y4" s="103" t="e">
        <f t="shared" si="10"/>
        <v>#DIV/0!</v>
      </c>
    </row>
    <row r="5" spans="1:27" x14ac:dyDescent="0.25">
      <c r="A5" s="102">
        <f t="shared" si="1"/>
        <v>0</v>
      </c>
      <c r="B5" s="102">
        <f t="shared" si="1"/>
        <v>0</v>
      </c>
      <c r="C5" s="102" t="e">
        <f t="shared" si="1"/>
        <v>#DIV/0!</v>
      </c>
      <c r="D5" s="102" t="e">
        <f t="shared" si="2"/>
        <v>#DIV/0!</v>
      </c>
      <c r="E5" s="99">
        <f t="shared" si="0"/>
        <v>0</v>
      </c>
      <c r="F5" s="99">
        <f t="shared" si="0"/>
        <v>0</v>
      </c>
      <c r="G5" s="99">
        <f t="shared" si="0"/>
        <v>0</v>
      </c>
      <c r="H5" s="99">
        <f t="shared" si="0"/>
        <v>0</v>
      </c>
      <c r="I5" s="99" t="e">
        <f t="shared" si="0"/>
        <v>#DIV/0!</v>
      </c>
      <c r="J5" s="99">
        <f t="shared" si="0"/>
        <v>0</v>
      </c>
      <c r="K5" s="99">
        <f t="shared" si="0"/>
        <v>0</v>
      </c>
      <c r="L5" s="99"/>
      <c r="M5" s="103">
        <v>0</v>
      </c>
      <c r="N5" s="103">
        <f t="shared" si="3"/>
        <v>0</v>
      </c>
      <c r="O5" s="103">
        <f t="shared" si="11"/>
        <v>0</v>
      </c>
      <c r="P5" s="103">
        <f t="shared" si="4"/>
        <v>0</v>
      </c>
      <c r="Q5" s="103">
        <f t="shared" si="5"/>
        <v>0</v>
      </c>
      <c r="R5" s="103">
        <f t="shared" si="6"/>
        <v>0</v>
      </c>
      <c r="S5" s="103">
        <v>0</v>
      </c>
      <c r="T5" s="103" t="e">
        <f t="shared" si="7"/>
        <v>#DIV/0!</v>
      </c>
      <c r="U5" s="102">
        <v>0</v>
      </c>
      <c r="V5" s="103">
        <v>0</v>
      </c>
      <c r="W5" s="103">
        <f t="shared" si="8"/>
        <v>0</v>
      </c>
      <c r="X5" s="103">
        <f t="shared" si="9"/>
        <v>0</v>
      </c>
      <c r="Y5" s="103" t="e">
        <f t="shared" si="10"/>
        <v>#DIV/0!</v>
      </c>
    </row>
    <row r="6" spans="1:27" x14ac:dyDescent="0.25">
      <c r="A6" s="102">
        <f t="shared" si="1"/>
        <v>0</v>
      </c>
      <c r="B6" s="102">
        <f t="shared" si="1"/>
        <v>0</v>
      </c>
      <c r="C6" s="102" t="e">
        <f t="shared" si="1"/>
        <v>#DIV/0!</v>
      </c>
      <c r="D6" s="102" t="e">
        <f t="shared" si="2"/>
        <v>#DIV/0!</v>
      </c>
      <c r="E6" s="99">
        <f t="shared" si="0"/>
        <v>0</v>
      </c>
      <c r="F6" s="99">
        <f t="shared" si="0"/>
        <v>0</v>
      </c>
      <c r="G6" s="99">
        <f t="shared" si="0"/>
        <v>0</v>
      </c>
      <c r="H6" s="99">
        <f t="shared" si="0"/>
        <v>0</v>
      </c>
      <c r="I6" s="99" t="e">
        <f t="shared" si="0"/>
        <v>#DIV/0!</v>
      </c>
      <c r="J6" s="99">
        <f t="shared" si="0"/>
        <v>0</v>
      </c>
      <c r="K6" s="99">
        <f t="shared" si="0"/>
        <v>0</v>
      </c>
      <c r="L6" s="99"/>
      <c r="M6" s="103">
        <v>0</v>
      </c>
      <c r="N6" s="103">
        <f t="shared" si="3"/>
        <v>0</v>
      </c>
      <c r="O6" s="103">
        <f t="shared" si="11"/>
        <v>0</v>
      </c>
      <c r="P6" s="103">
        <f t="shared" si="4"/>
        <v>0</v>
      </c>
      <c r="Q6" s="103">
        <f t="shared" si="5"/>
        <v>0</v>
      </c>
      <c r="R6" s="103">
        <f t="shared" si="6"/>
        <v>0</v>
      </c>
      <c r="S6" s="103">
        <v>0</v>
      </c>
      <c r="T6" s="103" t="e">
        <f t="shared" si="7"/>
        <v>#DIV/0!</v>
      </c>
      <c r="U6" s="102">
        <v>0</v>
      </c>
      <c r="V6" s="103">
        <v>0</v>
      </c>
      <c r="W6" s="103">
        <f t="shared" si="8"/>
        <v>0</v>
      </c>
      <c r="X6" s="103">
        <f t="shared" si="9"/>
        <v>0</v>
      </c>
      <c r="Y6" s="103" t="e">
        <f t="shared" si="10"/>
        <v>#DIV/0!</v>
      </c>
    </row>
    <row r="7" spans="1:27" x14ac:dyDescent="0.25">
      <c r="A7" s="102">
        <f t="shared" si="1"/>
        <v>0</v>
      </c>
      <c r="B7" s="102">
        <f t="shared" si="1"/>
        <v>0</v>
      </c>
      <c r="C7" s="102" t="e">
        <f t="shared" si="1"/>
        <v>#DIV/0!</v>
      </c>
      <c r="D7" s="102" t="e">
        <f t="shared" si="2"/>
        <v>#DIV/0!</v>
      </c>
      <c r="E7" s="99">
        <f t="shared" si="0"/>
        <v>0</v>
      </c>
      <c r="F7" s="99">
        <f t="shared" si="0"/>
        <v>0</v>
      </c>
      <c r="G7" s="99">
        <f t="shared" si="0"/>
        <v>0</v>
      </c>
      <c r="H7" s="99">
        <f t="shared" si="0"/>
        <v>0</v>
      </c>
      <c r="I7" s="99" t="e">
        <f t="shared" si="0"/>
        <v>#DIV/0!</v>
      </c>
      <c r="J7" s="99">
        <f t="shared" si="0"/>
        <v>0</v>
      </c>
      <c r="K7" s="99">
        <f t="shared" si="0"/>
        <v>0</v>
      </c>
      <c r="L7" s="99"/>
      <c r="M7" s="103">
        <v>0</v>
      </c>
      <c r="N7" s="103">
        <f t="shared" si="3"/>
        <v>0</v>
      </c>
      <c r="O7" s="103">
        <f t="shared" si="11"/>
        <v>0</v>
      </c>
      <c r="P7" s="103">
        <f t="shared" si="4"/>
        <v>0</v>
      </c>
      <c r="Q7" s="103">
        <f t="shared" si="5"/>
        <v>0</v>
      </c>
      <c r="R7" s="103">
        <f t="shared" si="6"/>
        <v>0</v>
      </c>
      <c r="S7" s="103">
        <v>0</v>
      </c>
      <c r="T7" s="103" t="e">
        <f t="shared" si="7"/>
        <v>#DIV/0!</v>
      </c>
      <c r="U7" s="102">
        <v>0</v>
      </c>
      <c r="V7" s="103">
        <v>0</v>
      </c>
      <c r="W7" s="103">
        <f t="shared" si="8"/>
        <v>0</v>
      </c>
      <c r="X7" s="103">
        <f t="shared" si="9"/>
        <v>0</v>
      </c>
      <c r="Y7" s="103" t="e">
        <f t="shared" si="10"/>
        <v>#DIV/0!</v>
      </c>
    </row>
    <row r="8" spans="1:27" x14ac:dyDescent="0.25">
      <c r="A8" s="102">
        <f t="shared" si="1"/>
        <v>0</v>
      </c>
      <c r="B8" s="102">
        <f t="shared" si="1"/>
        <v>0</v>
      </c>
      <c r="C8" s="102" t="e">
        <f t="shared" si="1"/>
        <v>#DIV/0!</v>
      </c>
      <c r="D8" s="102" t="e">
        <f t="shared" si="2"/>
        <v>#DIV/0!</v>
      </c>
      <c r="E8" s="99">
        <f t="shared" si="0"/>
        <v>0</v>
      </c>
      <c r="F8" s="99">
        <f t="shared" si="0"/>
        <v>0</v>
      </c>
      <c r="G8" s="99">
        <f t="shared" si="0"/>
        <v>0</v>
      </c>
      <c r="H8" s="99">
        <f t="shared" si="0"/>
        <v>0</v>
      </c>
      <c r="I8" s="99" t="e">
        <f t="shared" si="0"/>
        <v>#DIV/0!</v>
      </c>
      <c r="J8" s="99">
        <f t="shared" si="0"/>
        <v>0</v>
      </c>
      <c r="K8" s="99">
        <f t="shared" si="0"/>
        <v>0</v>
      </c>
      <c r="L8" s="99"/>
      <c r="M8" s="103">
        <v>0</v>
      </c>
      <c r="N8" s="103">
        <f t="shared" si="3"/>
        <v>0</v>
      </c>
      <c r="O8" s="103">
        <f t="shared" si="11"/>
        <v>0</v>
      </c>
      <c r="P8" s="103">
        <f t="shared" si="4"/>
        <v>0</v>
      </c>
      <c r="Q8" s="103">
        <f t="shared" si="5"/>
        <v>0</v>
      </c>
      <c r="R8" s="103">
        <f t="shared" si="6"/>
        <v>0</v>
      </c>
      <c r="S8" s="103">
        <v>0</v>
      </c>
      <c r="T8" s="103" t="e">
        <f t="shared" si="7"/>
        <v>#DIV/0!</v>
      </c>
      <c r="U8" s="102">
        <v>0</v>
      </c>
      <c r="V8" s="103">
        <v>0</v>
      </c>
      <c r="W8" s="103">
        <f t="shared" si="8"/>
        <v>0</v>
      </c>
      <c r="X8" s="103">
        <f t="shared" si="9"/>
        <v>0</v>
      </c>
      <c r="Y8" s="103" t="e">
        <f t="shared" si="10"/>
        <v>#DIV/0!</v>
      </c>
    </row>
    <row r="9" spans="1:27" x14ac:dyDescent="0.25">
      <c r="A9" s="102">
        <f t="shared" si="1"/>
        <v>0</v>
      </c>
      <c r="B9" s="102">
        <f t="shared" si="1"/>
        <v>0</v>
      </c>
      <c r="C9" s="102" t="e">
        <f t="shared" si="1"/>
        <v>#DIV/0!</v>
      </c>
      <c r="D9" s="102" t="e">
        <f t="shared" si="2"/>
        <v>#DIV/0!</v>
      </c>
      <c r="E9" s="99">
        <f t="shared" si="0"/>
        <v>0</v>
      </c>
      <c r="F9" s="99">
        <f t="shared" si="0"/>
        <v>0</v>
      </c>
      <c r="G9" s="99">
        <f t="shared" si="0"/>
        <v>0</v>
      </c>
      <c r="H9" s="99">
        <f t="shared" si="0"/>
        <v>0</v>
      </c>
      <c r="I9" s="99" t="e">
        <f t="shared" si="0"/>
        <v>#DIV/0!</v>
      </c>
      <c r="J9" s="99">
        <f t="shared" si="0"/>
        <v>0</v>
      </c>
      <c r="K9" s="99">
        <f t="shared" si="0"/>
        <v>0</v>
      </c>
      <c r="L9" s="99"/>
      <c r="M9" s="103">
        <v>0</v>
      </c>
      <c r="N9" s="103">
        <f t="shared" si="3"/>
        <v>0</v>
      </c>
      <c r="O9" s="103">
        <f t="shared" si="11"/>
        <v>0</v>
      </c>
      <c r="P9" s="103">
        <f t="shared" si="4"/>
        <v>0</v>
      </c>
      <c r="Q9" s="103">
        <f t="shared" si="5"/>
        <v>0</v>
      </c>
      <c r="R9" s="103">
        <f t="shared" si="6"/>
        <v>0</v>
      </c>
      <c r="S9" s="103">
        <v>0</v>
      </c>
      <c r="T9" s="103" t="e">
        <f t="shared" si="7"/>
        <v>#DIV/0!</v>
      </c>
      <c r="U9" s="102">
        <v>0</v>
      </c>
      <c r="V9" s="103">
        <v>0</v>
      </c>
      <c r="W9" s="103">
        <f t="shared" si="8"/>
        <v>0</v>
      </c>
      <c r="X9" s="103">
        <f t="shared" si="9"/>
        <v>0</v>
      </c>
      <c r="Y9" s="103" t="e">
        <f t="shared" si="10"/>
        <v>#DIV/0!</v>
      </c>
    </row>
    <row r="10" spans="1:27" x14ac:dyDescent="0.25">
      <c r="A10" s="102">
        <f t="shared" si="1"/>
        <v>0</v>
      </c>
      <c r="B10" s="102">
        <f t="shared" si="1"/>
        <v>0</v>
      </c>
      <c r="C10" s="102" t="e">
        <f t="shared" si="1"/>
        <v>#DIV/0!</v>
      </c>
      <c r="D10" s="102" t="e">
        <f t="shared" si="2"/>
        <v>#DIV/0!</v>
      </c>
      <c r="E10" s="99">
        <f t="shared" si="0"/>
        <v>0</v>
      </c>
      <c r="F10" s="99">
        <f t="shared" si="0"/>
        <v>0</v>
      </c>
      <c r="G10" s="99">
        <f t="shared" si="0"/>
        <v>0</v>
      </c>
      <c r="H10" s="99">
        <f t="shared" si="0"/>
        <v>0</v>
      </c>
      <c r="I10" s="99" t="e">
        <f t="shared" si="0"/>
        <v>#DIV/0!</v>
      </c>
      <c r="J10" s="99">
        <f t="shared" si="0"/>
        <v>0</v>
      </c>
      <c r="K10" s="99">
        <f t="shared" si="0"/>
        <v>0</v>
      </c>
      <c r="L10" s="99"/>
      <c r="M10" s="103">
        <v>0</v>
      </c>
      <c r="N10" s="103">
        <f t="shared" si="3"/>
        <v>0</v>
      </c>
      <c r="O10" s="103">
        <f t="shared" si="11"/>
        <v>0</v>
      </c>
      <c r="P10" s="103">
        <f t="shared" si="4"/>
        <v>0</v>
      </c>
      <c r="Q10" s="103">
        <f t="shared" si="5"/>
        <v>0</v>
      </c>
      <c r="R10" s="103">
        <f t="shared" si="6"/>
        <v>0</v>
      </c>
      <c r="S10" s="103">
        <v>0</v>
      </c>
      <c r="T10" s="103" t="e">
        <f t="shared" si="7"/>
        <v>#DIV/0!</v>
      </c>
      <c r="U10" s="102">
        <v>0</v>
      </c>
      <c r="V10" s="103">
        <v>0</v>
      </c>
      <c r="W10" s="103">
        <f t="shared" si="8"/>
        <v>0</v>
      </c>
      <c r="X10" s="103">
        <f t="shared" si="9"/>
        <v>0</v>
      </c>
      <c r="Y10" s="103" t="e">
        <f t="shared" si="10"/>
        <v>#DIV/0!</v>
      </c>
    </row>
    <row r="11" spans="1:27" x14ac:dyDescent="0.25">
      <c r="A11" s="102">
        <f t="shared" si="1"/>
        <v>0</v>
      </c>
      <c r="B11" s="102">
        <f t="shared" si="1"/>
        <v>0</v>
      </c>
      <c r="C11" s="102" t="e">
        <f t="shared" si="1"/>
        <v>#DIV/0!</v>
      </c>
      <c r="D11" s="102" t="e">
        <f t="shared" si="2"/>
        <v>#DIV/0!</v>
      </c>
      <c r="E11" s="99">
        <f t="shared" si="0"/>
        <v>0</v>
      </c>
      <c r="F11" s="99">
        <f t="shared" si="0"/>
        <v>0</v>
      </c>
      <c r="G11" s="99">
        <f t="shared" si="0"/>
        <v>0</v>
      </c>
      <c r="H11" s="99">
        <f t="shared" si="0"/>
        <v>0</v>
      </c>
      <c r="I11" s="99" t="e">
        <f t="shared" si="0"/>
        <v>#DIV/0!</v>
      </c>
      <c r="J11" s="99">
        <f t="shared" si="0"/>
        <v>0</v>
      </c>
      <c r="K11" s="99">
        <f t="shared" si="0"/>
        <v>0</v>
      </c>
      <c r="L11" s="99"/>
      <c r="M11" s="103">
        <v>0</v>
      </c>
      <c r="N11" s="103">
        <f t="shared" si="3"/>
        <v>0</v>
      </c>
      <c r="O11" s="103">
        <f t="shared" si="11"/>
        <v>0</v>
      </c>
      <c r="P11" s="103">
        <f t="shared" si="4"/>
        <v>0</v>
      </c>
      <c r="Q11" s="103">
        <f t="shared" si="5"/>
        <v>0</v>
      </c>
      <c r="R11" s="103">
        <f t="shared" si="6"/>
        <v>0</v>
      </c>
      <c r="S11" s="103">
        <v>0</v>
      </c>
      <c r="T11" s="103" t="e">
        <f t="shared" si="7"/>
        <v>#DIV/0!</v>
      </c>
      <c r="U11" s="102">
        <v>0</v>
      </c>
      <c r="V11" s="103">
        <v>0</v>
      </c>
      <c r="W11" s="103">
        <f t="shared" si="8"/>
        <v>0</v>
      </c>
      <c r="X11" s="103">
        <f t="shared" si="9"/>
        <v>0</v>
      </c>
      <c r="Y11" s="103" t="e">
        <f t="shared" si="10"/>
        <v>#DIV/0!</v>
      </c>
    </row>
    <row r="12" spans="1:27" x14ac:dyDescent="0.25">
      <c r="A12" s="102">
        <f t="shared" si="1"/>
        <v>0</v>
      </c>
      <c r="B12" s="102">
        <f t="shared" si="1"/>
        <v>0</v>
      </c>
      <c r="C12" s="102" t="e">
        <f t="shared" si="1"/>
        <v>#DIV/0!</v>
      </c>
      <c r="D12" s="102" t="e">
        <f t="shared" si="2"/>
        <v>#DIV/0!</v>
      </c>
      <c r="E12" s="99">
        <f t="shared" si="0"/>
        <v>0</v>
      </c>
      <c r="F12" s="99">
        <f t="shared" si="0"/>
        <v>0</v>
      </c>
      <c r="G12" s="99">
        <f t="shared" si="0"/>
        <v>0</v>
      </c>
      <c r="H12" s="99">
        <f t="shared" si="0"/>
        <v>0</v>
      </c>
      <c r="I12" s="99" t="e">
        <f t="shared" si="0"/>
        <v>#DIV/0!</v>
      </c>
      <c r="J12" s="99">
        <f t="shared" si="0"/>
        <v>0</v>
      </c>
      <c r="K12" s="99">
        <f t="shared" si="0"/>
        <v>0</v>
      </c>
      <c r="L12" s="99"/>
      <c r="M12" s="103">
        <v>0</v>
      </c>
      <c r="N12" s="103">
        <f t="shared" si="3"/>
        <v>0</v>
      </c>
      <c r="O12" s="103">
        <f t="shared" si="11"/>
        <v>0</v>
      </c>
      <c r="P12" s="103">
        <f t="shared" si="4"/>
        <v>0</v>
      </c>
      <c r="Q12" s="103">
        <f t="shared" si="5"/>
        <v>0</v>
      </c>
      <c r="R12" s="103">
        <f t="shared" si="6"/>
        <v>0</v>
      </c>
      <c r="S12" s="103">
        <v>0</v>
      </c>
      <c r="T12" s="103" t="e">
        <f t="shared" si="7"/>
        <v>#DIV/0!</v>
      </c>
      <c r="U12" s="102">
        <v>0</v>
      </c>
      <c r="V12" s="103">
        <v>0</v>
      </c>
      <c r="W12" s="103">
        <f t="shared" si="8"/>
        <v>0</v>
      </c>
      <c r="X12" s="103">
        <f t="shared" si="9"/>
        <v>0</v>
      </c>
      <c r="Y12" s="103" t="e">
        <f t="shared" si="10"/>
        <v>#DIV/0!</v>
      </c>
    </row>
    <row r="13" spans="1:27" x14ac:dyDescent="0.25">
      <c r="A13" s="102">
        <f t="shared" si="1"/>
        <v>0</v>
      </c>
      <c r="B13" s="102">
        <f t="shared" si="1"/>
        <v>0</v>
      </c>
      <c r="C13" s="102" t="e">
        <f t="shared" si="1"/>
        <v>#DIV/0!</v>
      </c>
      <c r="D13" s="102" t="e">
        <f t="shared" si="2"/>
        <v>#DIV/0!</v>
      </c>
      <c r="E13" s="99">
        <f t="shared" si="0"/>
        <v>0</v>
      </c>
      <c r="F13" s="99">
        <f t="shared" si="0"/>
        <v>0</v>
      </c>
      <c r="G13" s="99">
        <f t="shared" si="0"/>
        <v>0</v>
      </c>
      <c r="H13" s="99">
        <f t="shared" si="0"/>
        <v>0</v>
      </c>
      <c r="I13" s="99" t="e">
        <f t="shared" si="0"/>
        <v>#DIV/0!</v>
      </c>
      <c r="J13" s="99">
        <f t="shared" si="0"/>
        <v>0</v>
      </c>
      <c r="K13" s="99">
        <f t="shared" si="0"/>
        <v>0</v>
      </c>
      <c r="L13" s="99"/>
      <c r="M13" s="103">
        <v>0</v>
      </c>
      <c r="N13" s="103">
        <f t="shared" si="3"/>
        <v>0</v>
      </c>
      <c r="O13" s="103">
        <f t="shared" si="11"/>
        <v>0</v>
      </c>
      <c r="P13" s="103">
        <f t="shared" si="4"/>
        <v>0</v>
      </c>
      <c r="Q13" s="103">
        <f t="shared" si="5"/>
        <v>0</v>
      </c>
      <c r="R13" s="103">
        <f t="shared" si="6"/>
        <v>0</v>
      </c>
      <c r="S13" s="103">
        <v>0</v>
      </c>
      <c r="T13" s="103" t="e">
        <f t="shared" si="7"/>
        <v>#DIV/0!</v>
      </c>
      <c r="U13" s="102">
        <v>0</v>
      </c>
      <c r="V13" s="103">
        <v>0</v>
      </c>
      <c r="W13" s="103">
        <f t="shared" si="8"/>
        <v>0</v>
      </c>
      <c r="X13" s="103">
        <f t="shared" si="9"/>
        <v>0</v>
      </c>
      <c r="Y13" s="103" t="e">
        <f t="shared" si="10"/>
        <v>#DIV/0!</v>
      </c>
    </row>
    <row r="14" spans="1:27" x14ac:dyDescent="0.25">
      <c r="A14" s="102">
        <f t="shared" si="1"/>
        <v>0</v>
      </c>
      <c r="B14" s="102">
        <f t="shared" si="1"/>
        <v>0</v>
      </c>
      <c r="C14" s="102" t="e">
        <f t="shared" si="1"/>
        <v>#DIV/0!</v>
      </c>
      <c r="D14" s="102" t="e">
        <f t="shared" si="2"/>
        <v>#DIV/0!</v>
      </c>
      <c r="E14" s="99">
        <f t="shared" si="0"/>
        <v>0</v>
      </c>
      <c r="F14" s="99">
        <f t="shared" si="0"/>
        <v>0</v>
      </c>
      <c r="G14" s="99">
        <f t="shared" si="0"/>
        <v>0</v>
      </c>
      <c r="H14" s="99">
        <f t="shared" si="0"/>
        <v>0</v>
      </c>
      <c r="I14" s="99" t="e">
        <f t="shared" si="0"/>
        <v>#DIV/0!</v>
      </c>
      <c r="J14" s="99">
        <f t="shared" si="0"/>
        <v>0</v>
      </c>
      <c r="K14" s="99">
        <f t="shared" si="0"/>
        <v>0</v>
      </c>
      <c r="L14" s="99"/>
      <c r="M14" s="103">
        <v>0</v>
      </c>
      <c r="N14" s="103">
        <f t="shared" si="3"/>
        <v>0</v>
      </c>
      <c r="O14" s="103">
        <f t="shared" si="11"/>
        <v>0</v>
      </c>
      <c r="P14" s="103">
        <f t="shared" si="4"/>
        <v>0</v>
      </c>
      <c r="Q14" s="103">
        <f t="shared" si="5"/>
        <v>0</v>
      </c>
      <c r="R14" s="103">
        <f t="shared" si="6"/>
        <v>0</v>
      </c>
      <c r="S14" s="103">
        <v>0</v>
      </c>
      <c r="T14" s="103" t="e">
        <f t="shared" si="7"/>
        <v>#DIV/0!</v>
      </c>
      <c r="U14" s="102">
        <v>0</v>
      </c>
      <c r="V14" s="103">
        <v>0</v>
      </c>
      <c r="W14" s="103">
        <f t="shared" si="8"/>
        <v>0</v>
      </c>
      <c r="X14" s="103">
        <f t="shared" si="9"/>
        <v>0</v>
      </c>
      <c r="Y14" s="103" t="e">
        <f t="shared" si="10"/>
        <v>#DIV/0!</v>
      </c>
    </row>
    <row r="15" spans="1:27" x14ac:dyDescent="0.25">
      <c r="A15" s="102">
        <f t="shared" si="1"/>
        <v>0</v>
      </c>
      <c r="B15" s="102">
        <f t="shared" si="1"/>
        <v>0</v>
      </c>
      <c r="C15" s="102" t="e">
        <f t="shared" si="1"/>
        <v>#DIV/0!</v>
      </c>
      <c r="D15" s="102" t="e">
        <f t="shared" si="2"/>
        <v>#DIV/0!</v>
      </c>
      <c r="E15" s="99">
        <f t="shared" si="0"/>
        <v>0</v>
      </c>
      <c r="F15" s="99">
        <f t="shared" si="0"/>
        <v>0</v>
      </c>
      <c r="G15" s="99">
        <f t="shared" si="0"/>
        <v>0</v>
      </c>
      <c r="H15" s="99">
        <f t="shared" si="0"/>
        <v>0</v>
      </c>
      <c r="I15" s="99" t="e">
        <f t="shared" si="0"/>
        <v>#DIV/0!</v>
      </c>
      <c r="J15" s="99">
        <f t="shared" si="0"/>
        <v>0</v>
      </c>
      <c r="K15" s="99">
        <f t="shared" si="0"/>
        <v>0</v>
      </c>
      <c r="L15" s="99"/>
      <c r="M15" s="103">
        <v>0</v>
      </c>
      <c r="N15" s="103">
        <f t="shared" si="3"/>
        <v>0</v>
      </c>
      <c r="O15" s="103">
        <f t="shared" si="11"/>
        <v>0</v>
      </c>
      <c r="P15" s="103">
        <f t="shared" si="4"/>
        <v>0</v>
      </c>
      <c r="Q15" s="103">
        <f t="shared" si="5"/>
        <v>0</v>
      </c>
      <c r="R15" s="103">
        <f t="shared" si="6"/>
        <v>0</v>
      </c>
      <c r="S15" s="103">
        <v>0</v>
      </c>
      <c r="T15" s="103" t="e">
        <f t="shared" si="7"/>
        <v>#DIV/0!</v>
      </c>
      <c r="U15" s="102">
        <v>0</v>
      </c>
      <c r="V15" s="103">
        <v>0</v>
      </c>
      <c r="W15" s="103">
        <f t="shared" si="8"/>
        <v>0</v>
      </c>
      <c r="X15" s="103">
        <f t="shared" si="9"/>
        <v>0</v>
      </c>
      <c r="Y15" s="103" t="e">
        <f t="shared" si="10"/>
        <v>#DIV/0!</v>
      </c>
    </row>
    <row r="16" spans="1:27" x14ac:dyDescent="0.25">
      <c r="A16" s="102">
        <f t="shared" si="1"/>
        <v>0</v>
      </c>
      <c r="B16" s="102">
        <f t="shared" si="1"/>
        <v>0</v>
      </c>
      <c r="C16" s="102" t="e">
        <f t="shared" si="1"/>
        <v>#DIV/0!</v>
      </c>
      <c r="D16" s="102" t="e">
        <f t="shared" si="2"/>
        <v>#DIV/0!</v>
      </c>
      <c r="E16" s="99">
        <f t="shared" si="0"/>
        <v>0</v>
      </c>
      <c r="F16" s="99">
        <f t="shared" si="0"/>
        <v>0</v>
      </c>
      <c r="G16" s="99">
        <f t="shared" si="0"/>
        <v>0</v>
      </c>
      <c r="H16" s="99">
        <f t="shared" si="0"/>
        <v>0</v>
      </c>
      <c r="I16" s="99" t="e">
        <f t="shared" si="0"/>
        <v>#DIV/0!</v>
      </c>
      <c r="J16" s="99">
        <f t="shared" si="0"/>
        <v>0</v>
      </c>
      <c r="K16" s="99">
        <f t="shared" si="0"/>
        <v>0</v>
      </c>
      <c r="L16" s="99"/>
      <c r="M16" s="103">
        <v>0</v>
      </c>
      <c r="N16" s="103">
        <f t="shared" si="3"/>
        <v>0</v>
      </c>
      <c r="O16" s="103">
        <f t="shared" si="11"/>
        <v>0</v>
      </c>
      <c r="P16" s="103">
        <f t="shared" si="4"/>
        <v>0</v>
      </c>
      <c r="Q16" s="103">
        <f t="shared" si="5"/>
        <v>0</v>
      </c>
      <c r="R16" s="103">
        <f t="shared" si="6"/>
        <v>0</v>
      </c>
      <c r="S16" s="103">
        <v>0</v>
      </c>
      <c r="T16" s="103" t="e">
        <f t="shared" si="7"/>
        <v>#DIV/0!</v>
      </c>
      <c r="U16" s="102">
        <v>0</v>
      </c>
      <c r="V16" s="103">
        <v>0</v>
      </c>
      <c r="W16" s="103">
        <f t="shared" si="8"/>
        <v>0</v>
      </c>
      <c r="X16" s="103">
        <f t="shared" si="9"/>
        <v>0</v>
      </c>
      <c r="Y16" s="103" t="e">
        <f t="shared" si="10"/>
        <v>#DIV/0!</v>
      </c>
    </row>
    <row r="17" spans="1:25" x14ac:dyDescent="0.25">
      <c r="A17" s="102">
        <f t="shared" si="1"/>
        <v>0</v>
      </c>
      <c r="B17" s="102">
        <f t="shared" si="1"/>
        <v>0</v>
      </c>
      <c r="C17" s="102" t="e">
        <f t="shared" si="1"/>
        <v>#DIV/0!</v>
      </c>
      <c r="D17" s="102" t="e">
        <f t="shared" si="2"/>
        <v>#DIV/0!</v>
      </c>
      <c r="E17" s="99">
        <f t="shared" ref="E17:K18" si="12">U17</f>
        <v>0</v>
      </c>
      <c r="F17" s="99">
        <f t="shared" si="12"/>
        <v>0</v>
      </c>
      <c r="G17" s="99">
        <f t="shared" si="12"/>
        <v>0</v>
      </c>
      <c r="H17" s="99">
        <f t="shared" si="12"/>
        <v>0</v>
      </c>
      <c r="I17" s="99" t="e">
        <f t="shared" si="12"/>
        <v>#DIV/0!</v>
      </c>
      <c r="J17" s="99">
        <f t="shared" si="12"/>
        <v>0</v>
      </c>
      <c r="K17" s="99">
        <f t="shared" si="12"/>
        <v>0</v>
      </c>
      <c r="L17" s="99"/>
      <c r="M17" s="103">
        <v>0</v>
      </c>
      <c r="N17" s="103">
        <f t="shared" si="3"/>
        <v>0</v>
      </c>
      <c r="O17" s="103">
        <f t="shared" si="11"/>
        <v>0</v>
      </c>
      <c r="P17" s="103">
        <f t="shared" si="4"/>
        <v>0</v>
      </c>
      <c r="Q17" s="103">
        <f t="shared" si="5"/>
        <v>0</v>
      </c>
      <c r="R17" s="103">
        <f t="shared" si="6"/>
        <v>0</v>
      </c>
      <c r="S17" s="103">
        <v>0</v>
      </c>
      <c r="T17" s="103" t="e">
        <f t="shared" si="7"/>
        <v>#DIV/0!</v>
      </c>
      <c r="U17" s="102">
        <v>0</v>
      </c>
      <c r="V17" s="103">
        <v>0</v>
      </c>
      <c r="W17" s="103">
        <f t="shared" si="8"/>
        <v>0</v>
      </c>
      <c r="X17" s="103">
        <f t="shared" si="9"/>
        <v>0</v>
      </c>
      <c r="Y17" s="103" t="e">
        <f t="shared" si="10"/>
        <v>#DIV/0!</v>
      </c>
    </row>
    <row r="18" spans="1:25" x14ac:dyDescent="0.25">
      <c r="A18" s="102">
        <f t="shared" ref="A18:C18" si="13">R18</f>
        <v>0</v>
      </c>
      <c r="B18" s="102">
        <f t="shared" si="13"/>
        <v>0</v>
      </c>
      <c r="C18" s="102" t="e">
        <f t="shared" si="13"/>
        <v>#DIV/0!</v>
      </c>
      <c r="D18" s="102" t="e">
        <f t="shared" si="2"/>
        <v>#DIV/0!</v>
      </c>
      <c r="E18" s="99">
        <f t="shared" si="12"/>
        <v>0</v>
      </c>
      <c r="F18" s="99">
        <f t="shared" si="12"/>
        <v>0</v>
      </c>
      <c r="G18" s="99">
        <f t="shared" si="12"/>
        <v>0</v>
      </c>
      <c r="H18" s="99">
        <f t="shared" si="12"/>
        <v>0</v>
      </c>
      <c r="I18" s="99" t="e">
        <f t="shared" si="12"/>
        <v>#DIV/0!</v>
      </c>
      <c r="J18" s="99">
        <f t="shared" si="12"/>
        <v>0</v>
      </c>
      <c r="K18" s="99">
        <f t="shared" si="12"/>
        <v>0</v>
      </c>
      <c r="L18" s="99"/>
      <c r="M18" s="103">
        <v>0</v>
      </c>
      <c r="N18" s="103">
        <f t="shared" si="3"/>
        <v>0</v>
      </c>
      <c r="O18" s="103">
        <f t="shared" si="11"/>
        <v>0</v>
      </c>
      <c r="P18" s="103">
        <f t="shared" si="4"/>
        <v>0</v>
      </c>
      <c r="Q18" s="103">
        <f t="shared" si="5"/>
        <v>0</v>
      </c>
      <c r="R18" s="103">
        <f t="shared" si="6"/>
        <v>0</v>
      </c>
      <c r="S18" s="103">
        <v>0</v>
      </c>
      <c r="T18" s="103" t="e">
        <f t="shared" si="7"/>
        <v>#DIV/0!</v>
      </c>
      <c r="U18" s="102">
        <v>0</v>
      </c>
      <c r="V18" s="103">
        <v>0</v>
      </c>
      <c r="W18" s="103">
        <f t="shared" si="8"/>
        <v>0</v>
      </c>
      <c r="X18" s="103">
        <f t="shared" si="9"/>
        <v>0</v>
      </c>
      <c r="Y18" s="103" t="e">
        <f t="shared" si="10"/>
        <v>#DIV/0!</v>
      </c>
    </row>
    <row r="22" spans="1:25" x14ac:dyDescent="0.25">
      <c r="M22" s="103">
        <v>1172.32</v>
      </c>
      <c r="N22" s="103">
        <f>M22*10.764</f>
        <v>12618.852479999998</v>
      </c>
      <c r="O22" s="103">
        <f>N22/121.0167464</f>
        <v>104.27360555778417</v>
      </c>
      <c r="P22" s="103">
        <v>105000</v>
      </c>
      <c r="Q22" s="103">
        <f>O22*P22</f>
        <v>10948728.583567338</v>
      </c>
    </row>
    <row r="23" spans="1:25" x14ac:dyDescent="0.25">
      <c r="M23" s="103">
        <v>1439</v>
      </c>
      <c r="N23" s="103">
        <f>M23*10.764</f>
        <v>15489.395999999999</v>
      </c>
      <c r="O23" s="103">
        <f>N23/121.0167464</f>
        <v>127.99382284500088</v>
      </c>
      <c r="P23" s="103">
        <v>105000</v>
      </c>
      <c r="Q23" s="103">
        <f>O23*P23</f>
        <v>13439351.398725092</v>
      </c>
    </row>
    <row r="24" spans="1:25" x14ac:dyDescent="0.25">
      <c r="F24" s="103">
        <f>30000/10.764</f>
        <v>2787.0680044593091</v>
      </c>
    </row>
    <row r="27" spans="1:25" x14ac:dyDescent="0.25">
      <c r="Q27" s="103">
        <v>11107789</v>
      </c>
      <c r="R27" s="103">
        <v>17424</v>
      </c>
      <c r="S27" s="103">
        <f>Q27/R27</f>
        <v>637.49936868686871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2D7422-1CFB-4882-A4CB-055E48EFC0B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2B2E9A-BFE3-4B7D-9A40-C743A7859C37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Valuation</vt:lpstr>
      <vt:lpstr>Old Valuation Report</vt:lpstr>
      <vt:lpstr>Sheet2</vt:lpstr>
      <vt:lpstr>Sheet3</vt:lpstr>
      <vt:lpstr>Sheet4</vt:lpstr>
    </vt:vector>
  </TitlesOfParts>
  <Company>NONE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CHANGE_ME1</dc:creator>
  <cp:lastModifiedBy>DESK-28 VASTUKALA</cp:lastModifiedBy>
  <dcterms:created xsi:type="dcterms:W3CDTF">2014-10-16T12:20:47Z</dcterms:created>
  <dcterms:modified xsi:type="dcterms:W3CDTF">2025-02-28T05:38:21Z</dcterms:modified>
</cp:coreProperties>
</file>