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roject\Mumbai Main Branch\One Meraki\"/>
    </mc:Choice>
  </mc:AlternateContent>
  <xr:revisionPtr revIDLastSave="0" documentId="13_ncr:1_{5440EEC1-5B1B-4A32-A536-F98BB87EF63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Wing -E" sheetId="57" r:id="rId1"/>
    <sheet name="Total" sheetId="79" r:id="rId2"/>
    <sheet name="Rera" sheetId="67" r:id="rId3"/>
    <sheet name="Typical Floor" sheetId="70" r:id="rId4"/>
    <sheet name="IGR" sheetId="80" r:id="rId5"/>
    <sheet name="RR" sheetId="81" r:id="rId6"/>
    <sheet name="Rates" sheetId="82" r:id="rId7"/>
    <sheet name="Sheet1" sheetId="85" r:id="rId8"/>
  </sheets>
  <definedNames>
    <definedName name="_xlnm._FilterDatabase" localSheetId="2" hidden="1">Rera!$D$20:$D$26</definedName>
    <definedName name="_xlnm._FilterDatabase" localSheetId="0" hidden="1">'Wing -E'!$D$1:$D$19</definedName>
  </definedNames>
  <calcPr calcId="191029"/>
</workbook>
</file>

<file path=xl/calcChain.xml><?xml version="1.0" encoding="utf-8"?>
<calcChain xmlns="http://schemas.openxmlformats.org/spreadsheetml/2006/main">
  <c r="N2" i="57" l="1"/>
  <c r="C8" i="80"/>
  <c r="G8" i="80" s="1"/>
  <c r="B6" i="80"/>
  <c r="M21" i="57"/>
  <c r="M20" i="57"/>
  <c r="C6" i="80"/>
  <c r="G6" i="80" s="1"/>
  <c r="G7" i="80"/>
  <c r="B3" i="80"/>
  <c r="B4" i="80"/>
  <c r="B5" i="80"/>
  <c r="C7" i="80"/>
  <c r="B7" i="80"/>
  <c r="E6" i="80"/>
  <c r="H3" i="57"/>
  <c r="J3" i="57" s="1"/>
  <c r="L3" i="57"/>
  <c r="H4" i="57"/>
  <c r="I4" i="57" s="1"/>
  <c r="K4" i="57" s="1"/>
  <c r="L4" i="57"/>
  <c r="H5" i="57"/>
  <c r="J5" i="57" s="1"/>
  <c r="L5" i="57"/>
  <c r="H6" i="57"/>
  <c r="L6" i="57"/>
  <c r="H7" i="57"/>
  <c r="J7" i="57" s="1"/>
  <c r="L7" i="57"/>
  <c r="H8" i="57"/>
  <c r="I8" i="57" s="1"/>
  <c r="K8" i="57" s="1"/>
  <c r="J8" i="57"/>
  <c r="L8" i="57"/>
  <c r="H9" i="57"/>
  <c r="J9" i="57" s="1"/>
  <c r="L9" i="57"/>
  <c r="H10" i="57"/>
  <c r="I10" i="57" s="1"/>
  <c r="L10" i="57"/>
  <c r="H11" i="57"/>
  <c r="J11" i="57" s="1"/>
  <c r="L11" i="57"/>
  <c r="H12" i="57"/>
  <c r="I12" i="57" s="1"/>
  <c r="K12" i="57" s="1"/>
  <c r="L12" i="57"/>
  <c r="H13" i="57"/>
  <c r="J13" i="57" s="1"/>
  <c r="L13" i="57"/>
  <c r="H14" i="57"/>
  <c r="L14" i="57"/>
  <c r="H15" i="57"/>
  <c r="J15" i="57" s="1"/>
  <c r="L15" i="57"/>
  <c r="H16" i="57"/>
  <c r="I16" i="57" s="1"/>
  <c r="K16" i="57" s="1"/>
  <c r="J16" i="57"/>
  <c r="L16" i="57"/>
  <c r="H17" i="57"/>
  <c r="J17" i="57" s="1"/>
  <c r="L17" i="57"/>
  <c r="L2" i="57"/>
  <c r="H2" i="57"/>
  <c r="I2" i="57" s="1"/>
  <c r="F3" i="57"/>
  <c r="F4" i="57"/>
  <c r="F5" i="57"/>
  <c r="F6" i="57"/>
  <c r="F7" i="57"/>
  <c r="F8" i="57"/>
  <c r="F9" i="57"/>
  <c r="F10" i="57"/>
  <c r="F11" i="57"/>
  <c r="F12" i="57"/>
  <c r="F13" i="57"/>
  <c r="F14" i="57"/>
  <c r="F15" i="57"/>
  <c r="F16" i="57"/>
  <c r="F17" i="57"/>
  <c r="F2" i="57"/>
  <c r="E5" i="80"/>
  <c r="C5" i="80"/>
  <c r="G5" i="80" s="1"/>
  <c r="G4" i="80"/>
  <c r="G9" i="80"/>
  <c r="E4" i="80"/>
  <c r="H4" i="80" s="1"/>
  <c r="C4" i="80"/>
  <c r="L33" i="70"/>
  <c r="G11" i="67"/>
  <c r="D2" i="79"/>
  <c r="E18" i="57"/>
  <c r="K4" i="80"/>
  <c r="K5" i="80"/>
  <c r="K6" i="80"/>
  <c r="K7" i="80"/>
  <c r="K8" i="80"/>
  <c r="K9" i="80"/>
  <c r="K10" i="80"/>
  <c r="L10" i="80" s="1"/>
  <c r="K11" i="80"/>
  <c r="L11" i="80"/>
  <c r="K12" i="80"/>
  <c r="K13" i="80"/>
  <c r="H10" i="80"/>
  <c r="H11" i="80"/>
  <c r="H6" i="80"/>
  <c r="E7" i="80"/>
  <c r="H7" i="80" s="1"/>
  <c r="E8" i="80"/>
  <c r="H8" i="80" s="1"/>
  <c r="E9" i="80"/>
  <c r="H9" i="80" s="1"/>
  <c r="E3" i="80"/>
  <c r="C3" i="80" s="1"/>
  <c r="G3" i="80" s="1"/>
  <c r="I9" i="57" l="1"/>
  <c r="K9" i="57" s="1"/>
  <c r="J4" i="57"/>
  <c r="I5" i="57"/>
  <c r="K5" i="57" s="1"/>
  <c r="J12" i="57"/>
  <c r="I17" i="57"/>
  <c r="K17" i="57" s="1"/>
  <c r="I13" i="57"/>
  <c r="K13" i="57" s="1"/>
  <c r="K10" i="57"/>
  <c r="I6" i="57"/>
  <c r="K6" i="57" s="1"/>
  <c r="K14" i="57"/>
  <c r="I14" i="57"/>
  <c r="I15" i="57"/>
  <c r="K15" i="57" s="1"/>
  <c r="I11" i="57"/>
  <c r="K11" i="57" s="1"/>
  <c r="I7" i="57"/>
  <c r="K7" i="57" s="1"/>
  <c r="I3" i="57"/>
  <c r="K3" i="57" s="1"/>
  <c r="L9" i="80"/>
  <c r="J14" i="57"/>
  <c r="J10" i="57"/>
  <c r="J6" i="57"/>
  <c r="L8" i="80"/>
  <c r="L7" i="80"/>
  <c r="L4" i="80"/>
  <c r="E2" i="79"/>
  <c r="L6" i="80"/>
  <c r="L5" i="80"/>
  <c r="H5" i="80"/>
  <c r="F18" i="57" l="1"/>
  <c r="F2" i="79" s="1"/>
  <c r="J5" i="79" s="1"/>
  <c r="L18" i="57"/>
  <c r="H18" i="57"/>
  <c r="G2" i="79" s="1"/>
  <c r="I18" i="57" l="1"/>
  <c r="H2" i="79" s="1"/>
  <c r="J2" i="57" l="1"/>
  <c r="J18" i="57" s="1"/>
  <c r="I2" i="79" s="1"/>
  <c r="K2" i="57" l="1"/>
  <c r="E14" i="80"/>
  <c r="K17" i="80"/>
  <c r="K16" i="80"/>
  <c r="K15" i="80"/>
  <c r="K14" i="80"/>
  <c r="K3" i="80"/>
  <c r="E17" i="80" l="1"/>
  <c r="H3" i="80"/>
  <c r="D17" i="80" l="1"/>
  <c r="L3" i="80"/>
  <c r="M6" i="57" l="1"/>
  <c r="D72" i="80"/>
  <c r="E13" i="80" l="1"/>
  <c r="L13" i="80" s="1"/>
  <c r="E12" i="80"/>
  <c r="L12" i="80" s="1"/>
  <c r="E15" i="80"/>
  <c r="E16" i="80"/>
  <c r="L20" i="80" l="1"/>
  <c r="D10" i="80"/>
  <c r="H20" i="80"/>
</calcChain>
</file>

<file path=xl/sharedStrings.xml><?xml version="1.0" encoding="utf-8"?>
<sst xmlns="http://schemas.openxmlformats.org/spreadsheetml/2006/main" count="53" uniqueCount="35">
  <si>
    <t>Flat No.</t>
  </si>
  <si>
    <t>Sr. No.</t>
  </si>
  <si>
    <t xml:space="preserve">Built up Area in 
Sq. ft. 
</t>
  </si>
  <si>
    <t>Sr.</t>
  </si>
  <si>
    <t>Total Flats</t>
  </si>
  <si>
    <t>CA</t>
  </si>
  <si>
    <t>BUA</t>
  </si>
  <si>
    <t>Value</t>
  </si>
  <si>
    <t xml:space="preserve">RV </t>
  </si>
  <si>
    <t>Wing</t>
  </si>
  <si>
    <t>Total</t>
  </si>
  <si>
    <t>Flat No</t>
  </si>
  <si>
    <t>Amount</t>
  </si>
  <si>
    <t>Stamp Duty</t>
  </si>
  <si>
    <t>Registration Fee</t>
  </si>
  <si>
    <t>Total Amount</t>
  </si>
  <si>
    <t>Final Rate</t>
  </si>
  <si>
    <t>Average</t>
  </si>
  <si>
    <t>Rate CA</t>
  </si>
  <si>
    <t xml:space="preserve">DV </t>
  </si>
  <si>
    <t xml:space="preserve"> Carpet Area in 
Sq. ft.                      
</t>
  </si>
  <si>
    <t xml:space="preserve">Comp. </t>
  </si>
  <si>
    <t xml:space="preserve"> Floor No.</t>
  </si>
  <si>
    <t xml:space="preserve">                                              1 BHK - 77                            2 BHK  - 252                                                                                               </t>
  </si>
  <si>
    <t>5 BHK</t>
  </si>
  <si>
    <t>Rate BUA</t>
  </si>
  <si>
    <t>BUA Area in Sq.M.</t>
  </si>
  <si>
    <t>BUA Area in Sq.Ft.</t>
  </si>
  <si>
    <t xml:space="preserve">Akshay </t>
  </si>
  <si>
    <r>
      <t xml:space="preserve">Rate per 
Sq. ft. on Total Area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</si>
  <si>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r>
      <t xml:space="preserve">Realizable Value /                   Fair Market Value                        as on date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</si>
  <si>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r>
      <t xml:space="preserve">Final Realizable Value after completion of flat                           (Including Car parking, GST &amp; Other Charges)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</si>
  <si>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r>
      <t xml:space="preserve">Distress Sale Value in </t>
    </r>
    <r>
      <rPr>
        <b/>
        <sz val="7"/>
        <color theme="1"/>
        <rFont val="Rupee Foradian"/>
        <family val="2"/>
      </rPr>
      <t>`</t>
    </r>
  </si>
  <si>
    <r>
      <t xml:space="preserve">Expected Rent per month (After Completion)               in </t>
    </r>
    <r>
      <rPr>
        <b/>
        <sz val="7"/>
        <color theme="1"/>
        <rFont val="Rupee Foradian"/>
        <family val="2"/>
      </rPr>
      <t>`</t>
    </r>
  </si>
  <si>
    <r>
      <t xml:space="preserve">Cost of Construction                                 in </t>
    </r>
    <r>
      <rPr>
        <b/>
        <sz val="7"/>
        <color theme="1"/>
        <rFont val="Rupee Foradian"/>
        <family val="2"/>
      </rPr>
      <t>`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</si>
</sst>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333333"/>
      <name val="Open Sans"/>
      <family val="2"/>
    </font>
    <font>
      <b/>
      <sz val="11"/>
      <color rgb="FF333333"/>
      <name val="Open Sans"/>
      <family val="2"/>
    </font>
    <font>
      <sz val="10"/>
      <color rgb="FFFF0000"/>
      <name val="Arial Narrow"/>
      <family val="2"/>
    </font>
    <font>
      <b/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6"/>
      <color rgb="FFFF0000"/>
      <name val="Calibri"/>
      <family val="2"/>
      <scheme val="minor"/>
    </font>
    <font>
      <b/>
      <sz val="11"/>
      <color rgb="FFFFFFFF"/>
      <name val="Open Sans"/>
      <family val="2"/>
    </font>
    <font>
      <sz val="9"/>
      <color rgb="FFFF0000"/>
      <name val="Arial Narrow"/>
      <family val="2"/>
    </font>
    <font>
      <sz val="8"/>
      <name val="Calibri"/>
      <family val="2"/>
      <scheme val="minor"/>
    </font>
    <font>
      <sz val="10"/>
      <color theme="1"/>
      <name val="Arial Narrow"/>
      <family val="2"/>
    </font>
    <font>
      <sz val="10"/>
      <color theme="1"/>
      <name val="Calibri"/>
      <family val="2"/>
      <scheme val="minor"/>
    </font>
    <font>
      <sz val="11"/>
      <color rgb="FFFF0000"/>
      <name val="Arial Narrow"/>
      <family val="2"/>
    </font>
    <font>
      <sz val="11"/>
      <color rgb="FF000000"/>
      <name val="Calibri"/>
      <family val="2"/>
      <scheme val="minor"/>
    </font>
    <font>
      <b/>
      <sz val="11"/>
      <color theme="1"/>
      <name val="Arial Narrow"/>
      <family val="2"/>
    </font>
    <font>
      <sz val="8"/>
      <color rgb="FF000000"/>
      <name val="Arial"/>
      <family val="2"/>
    </font>
    <font>
      <b/>
      <sz val="24"/>
      <color rgb="FF004680"/>
      <name val="Arial"/>
      <family val="2"/>
    </font>
    <font>
      <b/>
      <sz val="9"/>
      <color theme="1"/>
      <name val="Arial"/>
      <family val="2"/>
    </font>
    <font>
      <sz val="8"/>
      <color theme="1"/>
      <name val="Arial"/>
      <family val="2"/>
    </font>
    <font>
      <b/>
      <sz val="16"/>
      <color theme="1"/>
      <name val="Calibri"/>
      <family val="2"/>
      <scheme val="minor"/>
    </font>
    <font>
      <sz val="8"/>
      <color rgb="FF212529"/>
      <name val="Arial"/>
      <family val="2"/>
    </font>
    <font>
      <b/>
      <sz val="11"/>
      <color rgb="FFFF0000"/>
      <name val="Arial Narrow"/>
      <family val="2"/>
    </font>
    <font>
      <b/>
      <sz val="9"/>
      <color rgb="FFFF0000"/>
      <name val="Arial Narrow"/>
      <family val="2"/>
    </font>
    <font>
      <b/>
      <sz val="12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7"/>
      <color theme="1"/>
      <name val="Arial Narrow"/>
      <family val="2"/>
    </font>
    <font>
      <b/>
      <sz val="6.5"/>
      <color theme="1"/>
      <name val="Arial Narrow"/>
      <family val="2"/>
    </font>
    <font>
      <b/>
      <sz val="7"/>
      <color theme="1"/>
      <name val="Rupee Foradian"/>
      <family val="2"/>
    </font>
    <font>
      <sz val="9"/>
      <color theme="1"/>
      <name val="Arial Narrow"/>
      <family val="2"/>
    </font>
    <font>
      <sz val="8"/>
      <color theme="1"/>
      <name val="Arial Narrow"/>
      <family val="2"/>
    </font>
    <font>
      <b/>
      <sz val="9"/>
      <color theme="1"/>
      <name val="Arial Narrow"/>
      <family val="2"/>
    </font>
    <font>
      <b/>
      <sz val="10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3F3F3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E9E9E9"/>
      </left>
      <right style="medium">
        <color rgb="FFE9E9E9"/>
      </right>
      <top style="medium">
        <color rgb="FFE9E9E9"/>
      </top>
      <bottom style="medium">
        <color rgb="FFE9E9E9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</cellStyleXfs>
  <cellXfs count="100">
    <xf numFmtId="0" fontId="0" fillId="0" borderId="0" xfId="0"/>
    <xf numFmtId="0" fontId="2" fillId="0" borderId="0" xfId="0" applyFont="1"/>
    <xf numFmtId="1" fontId="0" fillId="0" borderId="0" xfId="0" applyNumberFormat="1" applyAlignment="1">
      <alignment horizontal="center" vertical="center"/>
    </xf>
    <xf numFmtId="0" fontId="10" fillId="0" borderId="0" xfId="0" applyFont="1"/>
    <xf numFmtId="0" fontId="8" fillId="0" borderId="0" xfId="0" applyFont="1"/>
    <xf numFmtId="0" fontId="9" fillId="0" borderId="0" xfId="0" applyFont="1" applyAlignment="1">
      <alignment horizontal="left" vertical="top" wrapText="1"/>
    </xf>
    <xf numFmtId="1" fontId="3" fillId="0" borderId="0" xfId="0" applyNumberFormat="1" applyFont="1" applyAlignment="1">
      <alignment horizontal="center" vertical="center" wrapText="1"/>
    </xf>
    <xf numFmtId="2" fontId="3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top" wrapText="1"/>
    </xf>
    <xf numFmtId="1" fontId="6" fillId="0" borderId="0" xfId="0" applyNumberFormat="1" applyFont="1" applyAlignment="1">
      <alignment horizontal="center"/>
    </xf>
    <xf numFmtId="1" fontId="4" fillId="0" borderId="0" xfId="0" applyNumberFormat="1" applyFont="1" applyAlignment="1">
      <alignment horizontal="center" vertical="top" wrapText="1"/>
    </xf>
    <xf numFmtId="1" fontId="3" fillId="0" borderId="0" xfId="0" applyNumberFormat="1" applyFont="1" applyAlignment="1">
      <alignment horizontal="center" vertical="top" wrapText="1"/>
    </xf>
    <xf numFmtId="1" fontId="0" fillId="0" borderId="0" xfId="0" applyNumberFormat="1" applyAlignment="1">
      <alignment horizontal="center"/>
    </xf>
    <xf numFmtId="0" fontId="3" fillId="0" borderId="0" xfId="0" applyFont="1" applyAlignment="1">
      <alignment horizontal="center" vertical="top" wrapText="1"/>
    </xf>
    <xf numFmtId="0" fontId="6" fillId="0" borderId="0" xfId="0" applyFont="1"/>
    <xf numFmtId="0" fontId="3" fillId="0" borderId="0" xfId="0" applyFont="1" applyAlignment="1">
      <alignment vertical="top" wrapText="1"/>
    </xf>
    <xf numFmtId="0" fontId="13" fillId="0" borderId="0" xfId="0" applyFont="1"/>
    <xf numFmtId="0" fontId="7" fillId="0" borderId="0" xfId="0" applyFont="1"/>
    <xf numFmtId="0" fontId="14" fillId="0" borderId="0" xfId="0" applyFont="1"/>
    <xf numFmtId="1" fontId="5" fillId="0" borderId="0" xfId="0" applyNumberFormat="1" applyFont="1"/>
    <xf numFmtId="0" fontId="12" fillId="0" borderId="0" xfId="0" applyFont="1"/>
    <xf numFmtId="1" fontId="0" fillId="0" borderId="0" xfId="0" applyNumberFormat="1"/>
    <xf numFmtId="0" fontId="17" fillId="4" borderId="8" xfId="0" applyFont="1" applyFill="1" applyBorder="1" applyAlignment="1">
      <alignment horizontal="center" vertical="top" wrapText="1"/>
    </xf>
    <xf numFmtId="0" fontId="17" fillId="4" borderId="8" xfId="0" applyFont="1" applyFill="1" applyBorder="1" applyAlignment="1">
      <alignment vertical="top" wrapText="1"/>
    </xf>
    <xf numFmtId="0" fontId="15" fillId="0" borderId="0" xfId="0" applyFont="1"/>
    <xf numFmtId="0" fontId="18" fillId="0" borderId="0" xfId="0" applyFont="1"/>
    <xf numFmtId="0" fontId="19" fillId="3" borderId="8" xfId="0" applyFont="1" applyFill="1" applyBorder="1" applyAlignment="1">
      <alignment horizontal="center" vertical="top" wrapText="1"/>
    </xf>
    <xf numFmtId="0" fontId="20" fillId="3" borderId="8" xfId="0" applyFont="1" applyFill="1" applyBorder="1" applyAlignment="1">
      <alignment horizontal="center" vertical="top" wrapText="1"/>
    </xf>
    <xf numFmtId="9" fontId="0" fillId="0" borderId="0" xfId="0" applyNumberFormat="1"/>
    <xf numFmtId="1" fontId="13" fillId="0" borderId="0" xfId="0" applyNumberFormat="1" applyFont="1"/>
    <xf numFmtId="0" fontId="21" fillId="2" borderId="0" xfId="0" applyFont="1" applyFill="1"/>
    <xf numFmtId="1" fontId="16" fillId="0" borderId="9" xfId="0" applyNumberFormat="1" applyFont="1" applyBorder="1" applyAlignment="1">
      <alignment horizontal="center" vertical="center"/>
    </xf>
    <xf numFmtId="1" fontId="16" fillId="0" borderId="9" xfId="0" applyNumberFormat="1" applyFont="1" applyBorder="1" applyAlignment="1">
      <alignment horizontal="center" vertical="center" wrapText="1"/>
    </xf>
    <xf numFmtId="164" fontId="16" fillId="0" borderId="9" xfId="0" applyNumberFormat="1" applyFont="1" applyBorder="1" applyAlignment="1">
      <alignment horizontal="center" vertical="center" wrapText="1"/>
    </xf>
    <xf numFmtId="164" fontId="16" fillId="0" borderId="9" xfId="1" applyNumberFormat="1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/>
    </xf>
    <xf numFmtId="164" fontId="16" fillId="0" borderId="9" xfId="1" applyNumberFormat="1" applyFont="1" applyBorder="1" applyAlignment="1">
      <alignment horizontal="center" vertical="center" wrapText="1"/>
    </xf>
    <xf numFmtId="164" fontId="16" fillId="0" borderId="9" xfId="0" applyNumberFormat="1" applyFon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1" fontId="7" fillId="0" borderId="1" xfId="0" applyNumberFormat="1" applyFont="1" applyBorder="1" applyAlignment="1">
      <alignment horizontal="center" vertical="center"/>
    </xf>
    <xf numFmtId="43" fontId="7" fillId="0" borderId="1" xfId="1" applyFont="1" applyBorder="1" applyAlignment="1">
      <alignment horizontal="center" vertical="center"/>
    </xf>
    <xf numFmtId="164" fontId="7" fillId="0" borderId="11" xfId="1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43" fontId="7" fillId="0" borderId="12" xfId="1" applyFont="1" applyBorder="1" applyAlignment="1">
      <alignment horizontal="center" vertical="center"/>
    </xf>
    <xf numFmtId="164" fontId="7" fillId="0" borderId="12" xfId="0" applyNumberFormat="1" applyFont="1" applyBorder="1" applyAlignment="1">
      <alignment horizontal="center" vertical="center"/>
    </xf>
    <xf numFmtId="1" fontId="7" fillId="0" borderId="12" xfId="0" applyNumberFormat="1" applyFont="1" applyBorder="1" applyAlignment="1">
      <alignment horizontal="center" vertical="center"/>
    </xf>
    <xf numFmtId="164" fontId="7" fillId="0" borderId="13" xfId="1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1" fontId="16" fillId="0" borderId="14" xfId="0" applyNumberFormat="1" applyFont="1" applyBorder="1" applyAlignment="1">
      <alignment horizontal="center"/>
    </xf>
    <xf numFmtId="164" fontId="16" fillId="0" borderId="16" xfId="0" applyNumberFormat="1" applyFont="1" applyBorder="1"/>
    <xf numFmtId="0" fontId="2" fillId="0" borderId="0" xfId="0" applyFont="1" applyAlignment="1">
      <alignment horizontal="center" vertical="center"/>
    </xf>
    <xf numFmtId="1" fontId="14" fillId="0" borderId="1" xfId="0" applyNumberFormat="1" applyFont="1" applyBorder="1" applyAlignment="1">
      <alignment horizontal="center" vertical="center"/>
    </xf>
    <xf numFmtId="43" fontId="14" fillId="0" borderId="1" xfId="1" applyFont="1" applyBorder="1" applyAlignment="1">
      <alignment horizontal="center" vertical="center"/>
    </xf>
    <xf numFmtId="164" fontId="14" fillId="0" borderId="11" xfId="1" applyNumberFormat="1" applyFont="1" applyBorder="1" applyAlignment="1">
      <alignment horizontal="center" vertical="center"/>
    </xf>
    <xf numFmtId="43" fontId="14" fillId="0" borderId="1" xfId="1" applyFont="1" applyFill="1" applyBorder="1" applyAlignment="1">
      <alignment horizontal="center" vertical="center"/>
    </xf>
    <xf numFmtId="0" fontId="20" fillId="3" borderId="8" xfId="0" applyFont="1" applyFill="1" applyBorder="1" applyAlignment="1">
      <alignment vertical="top" wrapText="1"/>
    </xf>
    <xf numFmtId="0" fontId="0" fillId="0" borderId="0" xfId="0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43" fontId="0" fillId="0" borderId="0" xfId="0" applyNumberFormat="1"/>
    <xf numFmtId="0" fontId="22" fillId="3" borderId="8" xfId="0" applyFont="1" applyFill="1" applyBorder="1" applyAlignment="1">
      <alignment horizontal="center" vertical="top" wrapText="1"/>
    </xf>
    <xf numFmtId="1" fontId="0" fillId="0" borderId="0" xfId="0" applyNumberFormat="1" applyAlignment="1">
      <alignment vertical="top"/>
    </xf>
    <xf numFmtId="0" fontId="6" fillId="0" borderId="0" xfId="0" applyFont="1" applyAlignment="1">
      <alignment horizontal="center"/>
    </xf>
    <xf numFmtId="0" fontId="14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1" fontId="23" fillId="0" borderId="0" xfId="0" applyNumberFormat="1" applyFont="1"/>
    <xf numFmtId="43" fontId="0" fillId="0" borderId="0" xfId="1" applyFont="1"/>
    <xf numFmtId="0" fontId="25" fillId="0" borderId="1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vertical="center"/>
    </xf>
    <xf numFmtId="43" fontId="26" fillId="0" borderId="0" xfId="1" applyFont="1" applyFill="1"/>
    <xf numFmtId="43" fontId="26" fillId="0" borderId="0" xfId="0" applyNumberFormat="1" applyFont="1"/>
    <xf numFmtId="43" fontId="2" fillId="0" borderId="0" xfId="1" applyFont="1" applyFill="1"/>
    <xf numFmtId="2" fontId="0" fillId="0" borderId="0" xfId="0" applyNumberFormat="1"/>
    <xf numFmtId="0" fontId="27" fillId="0" borderId="2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27" fillId="0" borderId="3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/>
    </xf>
    <xf numFmtId="0" fontId="31" fillId="0" borderId="1" xfId="0" applyFont="1" applyBorder="1" applyAlignment="1">
      <alignment horizontal="center" vertical="center" wrapText="1"/>
    </xf>
    <xf numFmtId="1" fontId="30" fillId="0" borderId="1" xfId="0" applyNumberFormat="1" applyFont="1" applyBorder="1" applyAlignment="1">
      <alignment horizontal="center" vertical="center"/>
    </xf>
    <xf numFmtId="164" fontId="30" fillId="0" borderId="1" xfId="1" applyNumberFormat="1" applyFont="1" applyFill="1" applyBorder="1"/>
    <xf numFmtId="164" fontId="30" fillId="0" borderId="1" xfId="1" applyNumberFormat="1" applyFont="1" applyFill="1" applyBorder="1" applyAlignment="1">
      <alignment horizontal="center"/>
    </xf>
    <xf numFmtId="1" fontId="30" fillId="0" borderId="1" xfId="2" applyNumberFormat="1" applyFont="1" applyBorder="1" applyAlignment="1">
      <alignment horizontal="center" vertical="top" wrapText="1"/>
    </xf>
    <xf numFmtId="1" fontId="33" fillId="0" borderId="7" xfId="0" applyNumberFormat="1" applyFont="1" applyBorder="1" applyAlignment="1">
      <alignment horizontal="center" vertical="center"/>
    </xf>
    <xf numFmtId="1" fontId="30" fillId="0" borderId="7" xfId="0" applyNumberFormat="1" applyFont="1" applyBorder="1"/>
    <xf numFmtId="164" fontId="32" fillId="0" borderId="7" xfId="1" applyNumberFormat="1" applyFont="1" applyFill="1" applyBorder="1"/>
    <xf numFmtId="164" fontId="32" fillId="0" borderId="7" xfId="0" applyNumberFormat="1" applyFont="1" applyBorder="1"/>
    <xf numFmtId="164" fontId="32" fillId="0" borderId="7" xfId="1" applyNumberFormat="1" applyFont="1" applyFill="1" applyBorder="1" applyAlignment="1">
      <alignment horizontal="center"/>
    </xf>
    <xf numFmtId="43" fontId="7" fillId="0" borderId="0" xfId="1" applyFont="1"/>
    <xf numFmtId="43" fontId="7" fillId="0" borderId="0" xfId="0" applyNumberFormat="1" applyFont="1"/>
    <xf numFmtId="164" fontId="12" fillId="0" borderId="0" xfId="0" applyNumberFormat="1" applyFont="1"/>
    <xf numFmtId="0" fontId="32" fillId="0" borderId="4" xfId="0" applyFont="1" applyBorder="1" applyAlignment="1">
      <alignment horizontal="center" vertical="center"/>
    </xf>
    <xf numFmtId="0" fontId="32" fillId="0" borderId="5" xfId="0" applyFont="1" applyBorder="1" applyAlignment="1">
      <alignment horizontal="center" vertical="center"/>
    </xf>
    <xf numFmtId="0" fontId="32" fillId="0" borderId="6" xfId="0" applyFont="1" applyBorder="1" applyAlignment="1">
      <alignment horizontal="center" vertical="center"/>
    </xf>
    <xf numFmtId="0" fontId="16" fillId="0" borderId="15" xfId="0" applyFont="1" applyBorder="1" applyAlignment="1">
      <alignment horizontal="center"/>
    </xf>
  </cellXfs>
  <cellStyles count="5">
    <cellStyle name="Comma" xfId="1" builtinId="3"/>
    <cellStyle name="Comma 2" xfId="3" xr:uid="{00000000-0005-0000-0000-000001000000}"/>
    <cellStyle name="Normal" xfId="0" builtinId="0"/>
    <cellStyle name="Normal 11" xfId="4" xr:uid="{4EEF4ADE-9D1F-41CD-A103-70F612662E6C}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28</xdr:col>
      <xdr:colOff>234</xdr:colOff>
      <xdr:row>7</xdr:row>
      <xdr:rowOff>86652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E12FC34-B440-5D70-8ACB-0442182E7F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7423657" cy="139084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147</xdr:row>
      <xdr:rowOff>0</xdr:rowOff>
    </xdr:from>
    <xdr:to>
      <xdr:col>5</xdr:col>
      <xdr:colOff>28246</xdr:colOff>
      <xdr:row>180</xdr:row>
      <xdr:rowOff>39191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D9C85732-57D9-5635-08B6-07E6EEBA52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10914" y="24824121"/>
          <a:ext cx="3077004" cy="545858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498246</xdr:colOff>
      <xdr:row>35</xdr:row>
      <xdr:rowOff>140023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BD29034-2D9A-FE1C-31C0-C682725964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5363323" cy="581106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39</xdr:row>
      <xdr:rowOff>0</xdr:rowOff>
    </xdr:from>
    <xdr:to>
      <xdr:col>14</xdr:col>
      <xdr:colOff>31233</xdr:colOff>
      <xdr:row>77</xdr:row>
      <xdr:rowOff>114439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421B7EE-66BB-5CCE-7A4B-B85043C52F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6315808"/>
          <a:ext cx="8545118" cy="623974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10718</xdr:colOff>
      <xdr:row>40</xdr:row>
      <xdr:rowOff>20116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8E26F9C-C02A-352C-20B2-26FB4F4854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545118" cy="764011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42</xdr:row>
      <xdr:rowOff>0</xdr:rowOff>
    </xdr:from>
    <xdr:to>
      <xdr:col>12</xdr:col>
      <xdr:colOff>220127</xdr:colOff>
      <xdr:row>86</xdr:row>
      <xdr:rowOff>58328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052F5D1-1B6B-590B-4349-1034CFC3C1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001000"/>
          <a:ext cx="7535327" cy="844032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0</xdr:row>
      <xdr:rowOff>57150</xdr:rowOff>
    </xdr:from>
    <xdr:to>
      <xdr:col>10</xdr:col>
      <xdr:colOff>76200</xdr:colOff>
      <xdr:row>25</xdr:row>
      <xdr:rowOff>47625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FB29DF3-143C-1FDB-A536-3511B1BBF7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5670"/>
        <a:stretch>
          <a:fillRect/>
        </a:stretch>
      </xdr:blipFill>
      <xdr:spPr bwMode="auto">
        <a:xfrm>
          <a:off x="371475" y="57150"/>
          <a:ext cx="5800725" cy="47529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tabSelected="1" zoomScale="190" zoomScaleNormal="190" workbookViewId="0">
      <selection activeCell="N3" sqref="N3"/>
    </sheetView>
  </sheetViews>
  <sheetFormatPr defaultRowHeight="16.5" x14ac:dyDescent="0.3"/>
  <cols>
    <col min="1" max="1" width="3.7109375" style="65" customWidth="1"/>
    <col min="2" max="2" width="4.85546875" style="65" customWidth="1"/>
    <col min="3" max="3" width="4.28515625" style="65" customWidth="1"/>
    <col min="4" max="4" width="5.28515625" style="66" customWidth="1"/>
    <col min="5" max="5" width="6.140625" style="66" customWidth="1"/>
    <col min="6" max="6" width="6.42578125" style="18" customWidth="1"/>
    <col min="7" max="7" width="6.7109375" style="18" customWidth="1"/>
    <col min="8" max="8" width="10.5703125" style="18" customWidth="1"/>
    <col min="9" max="10" width="10.7109375" style="18" customWidth="1"/>
    <col min="11" max="11" width="6.28515625" style="18" customWidth="1"/>
    <col min="12" max="12" width="9.5703125" style="18" customWidth="1"/>
    <col min="13" max="13" width="15" style="18" customWidth="1"/>
    <col min="14" max="16384" width="9.140625" style="17"/>
  </cols>
  <sheetData>
    <row r="1" spans="1:14" ht="60.75" customHeight="1" x14ac:dyDescent="0.3">
      <c r="A1" s="78" t="s">
        <v>1</v>
      </c>
      <c r="B1" s="79" t="s">
        <v>0</v>
      </c>
      <c r="C1" s="80" t="s">
        <v>22</v>
      </c>
      <c r="D1" s="80" t="s">
        <v>21</v>
      </c>
      <c r="E1" s="79" t="s">
        <v>20</v>
      </c>
      <c r="F1" s="79" t="s">
        <v>2</v>
      </c>
      <c r="G1" s="79" t="s">
        <v>29</v>
      </c>
      <c r="H1" s="79" t="s">
        <v>30</v>
      </c>
      <c r="I1" s="79" t="s">
        <v>31</v>
      </c>
      <c r="J1" s="81" t="s">
        <v>32</v>
      </c>
      <c r="K1" s="79" t="s">
        <v>33</v>
      </c>
      <c r="L1" s="79" t="s">
        <v>34</v>
      </c>
    </row>
    <row r="2" spans="1:14" s="20" customFormat="1" ht="13.5" x14ac:dyDescent="0.25">
      <c r="A2" s="82">
        <v>1</v>
      </c>
      <c r="B2" s="83">
        <v>101</v>
      </c>
      <c r="C2" s="83">
        <v>1</v>
      </c>
      <c r="D2" s="83" t="s">
        <v>24</v>
      </c>
      <c r="E2" s="84">
        <v>3984</v>
      </c>
      <c r="F2" s="84">
        <f>E2*1.1</f>
        <v>4382.4000000000005</v>
      </c>
      <c r="G2" s="84">
        <v>42500</v>
      </c>
      <c r="H2" s="85">
        <f>E2*G2</f>
        <v>169320000</v>
      </c>
      <c r="I2" s="86">
        <f>ROUND(H2*1.13,0)</f>
        <v>191331600</v>
      </c>
      <c r="J2" s="86">
        <f>H2*0.8</f>
        <v>135456000</v>
      </c>
      <c r="K2" s="87">
        <f>MROUND((I2*0.03/12),500)</f>
        <v>478500</v>
      </c>
      <c r="L2" s="86">
        <f>F2*3000</f>
        <v>13147200.000000002</v>
      </c>
      <c r="M2" s="19"/>
      <c r="N2" s="95">
        <f>H2/F2</f>
        <v>38636.363636363632</v>
      </c>
    </row>
    <row r="3" spans="1:14" s="20" customFormat="1" ht="13.5" x14ac:dyDescent="0.25">
      <c r="A3" s="82">
        <v>2</v>
      </c>
      <c r="B3" s="83">
        <v>201</v>
      </c>
      <c r="C3" s="83">
        <v>2</v>
      </c>
      <c r="D3" s="83" t="s">
        <v>24</v>
      </c>
      <c r="E3" s="84">
        <v>3984</v>
      </c>
      <c r="F3" s="84">
        <f t="shared" ref="F3:F17" si="0">E3*1.1</f>
        <v>4382.4000000000005</v>
      </c>
      <c r="G3" s="84">
        <v>42500</v>
      </c>
      <c r="H3" s="85">
        <f t="shared" ref="H3:H17" si="1">E3*G3</f>
        <v>169320000</v>
      </c>
      <c r="I3" s="86">
        <f t="shared" ref="I3:I17" si="2">ROUND(H3*1.13,0)</f>
        <v>191331600</v>
      </c>
      <c r="J3" s="86">
        <f t="shared" ref="J3:J17" si="3">H3*0.8</f>
        <v>135456000</v>
      </c>
      <c r="K3" s="87">
        <f t="shared" ref="K3:K17" si="4">MROUND((I3*0.03/12),500)</f>
        <v>478500</v>
      </c>
      <c r="L3" s="86">
        <f t="shared" ref="L3:L17" si="5">F3*3000</f>
        <v>13147200.000000002</v>
      </c>
      <c r="M3" s="19"/>
    </row>
    <row r="4" spans="1:14" s="20" customFormat="1" ht="13.5" x14ac:dyDescent="0.25">
      <c r="A4" s="82">
        <v>3</v>
      </c>
      <c r="B4" s="83">
        <v>301</v>
      </c>
      <c r="C4" s="83">
        <v>3</v>
      </c>
      <c r="D4" s="83" t="s">
        <v>24</v>
      </c>
      <c r="E4" s="84">
        <v>3984</v>
      </c>
      <c r="F4" s="84">
        <f t="shared" si="0"/>
        <v>4382.4000000000005</v>
      </c>
      <c r="G4" s="84">
        <v>42500</v>
      </c>
      <c r="H4" s="85">
        <f t="shared" si="1"/>
        <v>169320000</v>
      </c>
      <c r="I4" s="86">
        <f t="shared" si="2"/>
        <v>191331600</v>
      </c>
      <c r="J4" s="86">
        <f t="shared" si="3"/>
        <v>135456000</v>
      </c>
      <c r="K4" s="87">
        <f t="shared" si="4"/>
        <v>478500</v>
      </c>
      <c r="L4" s="86">
        <f t="shared" si="5"/>
        <v>13147200.000000002</v>
      </c>
      <c r="M4" s="19"/>
    </row>
    <row r="5" spans="1:14" s="20" customFormat="1" ht="13.5" x14ac:dyDescent="0.25">
      <c r="A5" s="82">
        <v>4</v>
      </c>
      <c r="B5" s="83">
        <v>401</v>
      </c>
      <c r="C5" s="83">
        <v>4</v>
      </c>
      <c r="D5" s="83" t="s">
        <v>24</v>
      </c>
      <c r="E5" s="84">
        <v>3984</v>
      </c>
      <c r="F5" s="84">
        <f t="shared" si="0"/>
        <v>4382.4000000000005</v>
      </c>
      <c r="G5" s="84">
        <v>42500</v>
      </c>
      <c r="H5" s="85">
        <f t="shared" si="1"/>
        <v>169320000</v>
      </c>
      <c r="I5" s="86">
        <f t="shared" si="2"/>
        <v>191331600</v>
      </c>
      <c r="J5" s="86">
        <f t="shared" si="3"/>
        <v>135456000</v>
      </c>
      <c r="K5" s="87">
        <f t="shared" si="4"/>
        <v>478500</v>
      </c>
      <c r="L5" s="86">
        <f t="shared" si="5"/>
        <v>13147200.000000002</v>
      </c>
      <c r="M5" s="19"/>
    </row>
    <row r="6" spans="1:14" s="20" customFormat="1" ht="13.5" x14ac:dyDescent="0.25">
      <c r="A6" s="82">
        <v>5</v>
      </c>
      <c r="B6" s="83">
        <v>501</v>
      </c>
      <c r="C6" s="83">
        <v>5</v>
      </c>
      <c r="D6" s="83" t="s">
        <v>24</v>
      </c>
      <c r="E6" s="84">
        <v>3984</v>
      </c>
      <c r="F6" s="84">
        <f t="shared" si="0"/>
        <v>4382.4000000000005</v>
      </c>
      <c r="G6" s="84">
        <v>42500</v>
      </c>
      <c r="H6" s="85">
        <f t="shared" si="1"/>
        <v>169320000</v>
      </c>
      <c r="I6" s="86">
        <f t="shared" si="2"/>
        <v>191331600</v>
      </c>
      <c r="J6" s="86">
        <f t="shared" si="3"/>
        <v>135456000</v>
      </c>
      <c r="K6" s="87">
        <f t="shared" si="4"/>
        <v>478500</v>
      </c>
      <c r="L6" s="86">
        <f t="shared" si="5"/>
        <v>13147200.000000002</v>
      </c>
      <c r="M6" s="19">
        <f>H6/F6</f>
        <v>38636.363636363632</v>
      </c>
    </row>
    <row r="7" spans="1:14" s="20" customFormat="1" ht="13.5" x14ac:dyDescent="0.25">
      <c r="A7" s="82">
        <v>6</v>
      </c>
      <c r="B7" s="83">
        <v>601</v>
      </c>
      <c r="C7" s="83">
        <v>6</v>
      </c>
      <c r="D7" s="83" t="s">
        <v>24</v>
      </c>
      <c r="E7" s="84">
        <v>3984</v>
      </c>
      <c r="F7" s="84">
        <f t="shared" si="0"/>
        <v>4382.4000000000005</v>
      </c>
      <c r="G7" s="84">
        <v>42500</v>
      </c>
      <c r="H7" s="85">
        <f t="shared" si="1"/>
        <v>169320000</v>
      </c>
      <c r="I7" s="86">
        <f t="shared" si="2"/>
        <v>191331600</v>
      </c>
      <c r="J7" s="86">
        <f t="shared" si="3"/>
        <v>135456000</v>
      </c>
      <c r="K7" s="87">
        <f t="shared" si="4"/>
        <v>478500</v>
      </c>
      <c r="L7" s="86">
        <f t="shared" si="5"/>
        <v>13147200.000000002</v>
      </c>
      <c r="M7" s="19"/>
    </row>
    <row r="8" spans="1:14" s="20" customFormat="1" ht="13.5" x14ac:dyDescent="0.25">
      <c r="A8" s="82">
        <v>7</v>
      </c>
      <c r="B8" s="83">
        <v>701</v>
      </c>
      <c r="C8" s="83">
        <v>7</v>
      </c>
      <c r="D8" s="83" t="s">
        <v>24</v>
      </c>
      <c r="E8" s="84">
        <v>3984</v>
      </c>
      <c r="F8" s="84">
        <f t="shared" si="0"/>
        <v>4382.4000000000005</v>
      </c>
      <c r="G8" s="84">
        <v>42500</v>
      </c>
      <c r="H8" s="85">
        <f t="shared" si="1"/>
        <v>169320000</v>
      </c>
      <c r="I8" s="86">
        <f t="shared" si="2"/>
        <v>191331600</v>
      </c>
      <c r="J8" s="86">
        <f t="shared" si="3"/>
        <v>135456000</v>
      </c>
      <c r="K8" s="87">
        <f t="shared" si="4"/>
        <v>478500</v>
      </c>
      <c r="L8" s="86">
        <f t="shared" si="5"/>
        <v>13147200.000000002</v>
      </c>
      <c r="M8" s="19"/>
    </row>
    <row r="9" spans="1:14" s="20" customFormat="1" ht="13.5" x14ac:dyDescent="0.25">
      <c r="A9" s="82">
        <v>8</v>
      </c>
      <c r="B9" s="83">
        <v>801</v>
      </c>
      <c r="C9" s="83">
        <v>8</v>
      </c>
      <c r="D9" s="83" t="s">
        <v>24</v>
      </c>
      <c r="E9" s="84">
        <v>3984</v>
      </c>
      <c r="F9" s="84">
        <f t="shared" si="0"/>
        <v>4382.4000000000005</v>
      </c>
      <c r="G9" s="84">
        <v>42500</v>
      </c>
      <c r="H9" s="85">
        <f t="shared" si="1"/>
        <v>169320000</v>
      </c>
      <c r="I9" s="86">
        <f t="shared" si="2"/>
        <v>191331600</v>
      </c>
      <c r="J9" s="86">
        <f t="shared" si="3"/>
        <v>135456000</v>
      </c>
      <c r="K9" s="87">
        <f t="shared" si="4"/>
        <v>478500</v>
      </c>
      <c r="L9" s="86">
        <f t="shared" si="5"/>
        <v>13147200.000000002</v>
      </c>
      <c r="M9" s="19"/>
    </row>
    <row r="10" spans="1:14" s="20" customFormat="1" ht="13.5" x14ac:dyDescent="0.25">
      <c r="A10" s="82">
        <v>9</v>
      </c>
      <c r="B10" s="83">
        <v>901</v>
      </c>
      <c r="C10" s="83">
        <v>9</v>
      </c>
      <c r="D10" s="83" t="s">
        <v>24</v>
      </c>
      <c r="E10" s="84">
        <v>3984</v>
      </c>
      <c r="F10" s="84">
        <f t="shared" si="0"/>
        <v>4382.4000000000005</v>
      </c>
      <c r="G10" s="84">
        <v>42500</v>
      </c>
      <c r="H10" s="85">
        <f t="shared" si="1"/>
        <v>169320000</v>
      </c>
      <c r="I10" s="86">
        <f t="shared" si="2"/>
        <v>191331600</v>
      </c>
      <c r="J10" s="86">
        <f t="shared" si="3"/>
        <v>135456000</v>
      </c>
      <c r="K10" s="87">
        <f t="shared" si="4"/>
        <v>478500</v>
      </c>
      <c r="L10" s="86">
        <f t="shared" si="5"/>
        <v>13147200.000000002</v>
      </c>
      <c r="M10" s="19"/>
    </row>
    <row r="11" spans="1:14" s="20" customFormat="1" ht="13.5" x14ac:dyDescent="0.25">
      <c r="A11" s="82">
        <v>10</v>
      </c>
      <c r="B11" s="83">
        <v>1001</v>
      </c>
      <c r="C11" s="83">
        <v>10</v>
      </c>
      <c r="D11" s="83" t="s">
        <v>24</v>
      </c>
      <c r="E11" s="84">
        <v>3984</v>
      </c>
      <c r="F11" s="84">
        <f t="shared" si="0"/>
        <v>4382.4000000000005</v>
      </c>
      <c r="G11" s="84">
        <v>42500</v>
      </c>
      <c r="H11" s="85">
        <f t="shared" si="1"/>
        <v>169320000</v>
      </c>
      <c r="I11" s="86">
        <f t="shared" si="2"/>
        <v>191331600</v>
      </c>
      <c r="J11" s="86">
        <f t="shared" si="3"/>
        <v>135456000</v>
      </c>
      <c r="K11" s="87">
        <f t="shared" si="4"/>
        <v>478500</v>
      </c>
      <c r="L11" s="86">
        <f t="shared" si="5"/>
        <v>13147200.000000002</v>
      </c>
      <c r="M11" s="19"/>
    </row>
    <row r="12" spans="1:14" s="20" customFormat="1" ht="13.5" x14ac:dyDescent="0.25">
      <c r="A12" s="82">
        <v>11</v>
      </c>
      <c r="B12" s="83">
        <v>1101</v>
      </c>
      <c r="C12" s="83">
        <v>11</v>
      </c>
      <c r="D12" s="83" t="s">
        <v>24</v>
      </c>
      <c r="E12" s="84">
        <v>3984</v>
      </c>
      <c r="F12" s="84">
        <f t="shared" si="0"/>
        <v>4382.4000000000005</v>
      </c>
      <c r="G12" s="84">
        <v>42500</v>
      </c>
      <c r="H12" s="85">
        <f t="shared" si="1"/>
        <v>169320000</v>
      </c>
      <c r="I12" s="86">
        <f t="shared" si="2"/>
        <v>191331600</v>
      </c>
      <c r="J12" s="86">
        <f t="shared" si="3"/>
        <v>135456000</v>
      </c>
      <c r="K12" s="87">
        <f t="shared" si="4"/>
        <v>478500</v>
      </c>
      <c r="L12" s="86">
        <f t="shared" si="5"/>
        <v>13147200.000000002</v>
      </c>
      <c r="M12" s="19"/>
    </row>
    <row r="13" spans="1:14" s="20" customFormat="1" ht="13.5" x14ac:dyDescent="0.25">
      <c r="A13" s="82">
        <v>12</v>
      </c>
      <c r="B13" s="83">
        <v>1201</v>
      </c>
      <c r="C13" s="83">
        <v>12</v>
      </c>
      <c r="D13" s="83" t="s">
        <v>24</v>
      </c>
      <c r="E13" s="84">
        <v>3984</v>
      </c>
      <c r="F13" s="84">
        <f t="shared" si="0"/>
        <v>4382.4000000000005</v>
      </c>
      <c r="G13" s="84">
        <v>42500</v>
      </c>
      <c r="H13" s="85">
        <f t="shared" si="1"/>
        <v>169320000</v>
      </c>
      <c r="I13" s="86">
        <f t="shared" si="2"/>
        <v>191331600</v>
      </c>
      <c r="J13" s="86">
        <f t="shared" si="3"/>
        <v>135456000</v>
      </c>
      <c r="K13" s="87">
        <f t="shared" si="4"/>
        <v>478500</v>
      </c>
      <c r="L13" s="86">
        <f t="shared" si="5"/>
        <v>13147200.000000002</v>
      </c>
      <c r="M13" s="19"/>
    </row>
    <row r="14" spans="1:14" s="20" customFormat="1" ht="13.5" x14ac:dyDescent="0.25">
      <c r="A14" s="82">
        <v>13</v>
      </c>
      <c r="B14" s="83">
        <v>1301</v>
      </c>
      <c r="C14" s="83">
        <v>13</v>
      </c>
      <c r="D14" s="83" t="s">
        <v>24</v>
      </c>
      <c r="E14" s="84">
        <v>3984</v>
      </c>
      <c r="F14" s="84">
        <f t="shared" si="0"/>
        <v>4382.4000000000005</v>
      </c>
      <c r="G14" s="84">
        <v>42500</v>
      </c>
      <c r="H14" s="85">
        <f t="shared" si="1"/>
        <v>169320000</v>
      </c>
      <c r="I14" s="86">
        <f t="shared" si="2"/>
        <v>191331600</v>
      </c>
      <c r="J14" s="86">
        <f t="shared" si="3"/>
        <v>135456000</v>
      </c>
      <c r="K14" s="87">
        <f t="shared" si="4"/>
        <v>478500</v>
      </c>
      <c r="L14" s="86">
        <f t="shared" si="5"/>
        <v>13147200.000000002</v>
      </c>
      <c r="M14" s="19"/>
    </row>
    <row r="15" spans="1:14" s="20" customFormat="1" ht="13.5" x14ac:dyDescent="0.25">
      <c r="A15" s="82">
        <v>14</v>
      </c>
      <c r="B15" s="83">
        <v>1401</v>
      </c>
      <c r="C15" s="83">
        <v>14</v>
      </c>
      <c r="D15" s="83" t="s">
        <v>24</v>
      </c>
      <c r="E15" s="84">
        <v>3984</v>
      </c>
      <c r="F15" s="84">
        <f t="shared" si="0"/>
        <v>4382.4000000000005</v>
      </c>
      <c r="G15" s="84">
        <v>42500</v>
      </c>
      <c r="H15" s="85">
        <f t="shared" si="1"/>
        <v>169320000</v>
      </c>
      <c r="I15" s="86">
        <f t="shared" si="2"/>
        <v>191331600</v>
      </c>
      <c r="J15" s="86">
        <f t="shared" si="3"/>
        <v>135456000</v>
      </c>
      <c r="K15" s="87">
        <f t="shared" si="4"/>
        <v>478500</v>
      </c>
      <c r="L15" s="86">
        <f t="shared" si="5"/>
        <v>13147200.000000002</v>
      </c>
      <c r="M15" s="19"/>
    </row>
    <row r="16" spans="1:14" s="20" customFormat="1" ht="13.5" x14ac:dyDescent="0.25">
      <c r="A16" s="82">
        <v>15</v>
      </c>
      <c r="B16" s="83">
        <v>1501</v>
      </c>
      <c r="C16" s="83">
        <v>15</v>
      </c>
      <c r="D16" s="83" t="s">
        <v>24</v>
      </c>
      <c r="E16" s="84">
        <v>3984</v>
      </c>
      <c r="F16" s="84">
        <f t="shared" si="0"/>
        <v>4382.4000000000005</v>
      </c>
      <c r="G16" s="84">
        <v>42500</v>
      </c>
      <c r="H16" s="85">
        <f t="shared" si="1"/>
        <v>169320000</v>
      </c>
      <c r="I16" s="86">
        <f t="shared" si="2"/>
        <v>191331600</v>
      </c>
      <c r="J16" s="86">
        <f t="shared" si="3"/>
        <v>135456000</v>
      </c>
      <c r="K16" s="87">
        <f t="shared" si="4"/>
        <v>478500</v>
      </c>
      <c r="L16" s="86">
        <f t="shared" si="5"/>
        <v>13147200.000000002</v>
      </c>
      <c r="M16" s="19"/>
    </row>
    <row r="17" spans="1:13" s="20" customFormat="1" ht="13.5" x14ac:dyDescent="0.25">
      <c r="A17" s="82">
        <v>16</v>
      </c>
      <c r="B17" s="83">
        <v>1601</v>
      </c>
      <c r="C17" s="83">
        <v>16</v>
      </c>
      <c r="D17" s="83" t="s">
        <v>24</v>
      </c>
      <c r="E17" s="84">
        <v>3984</v>
      </c>
      <c r="F17" s="84">
        <f t="shared" si="0"/>
        <v>4382.4000000000005</v>
      </c>
      <c r="G17" s="84">
        <v>42500</v>
      </c>
      <c r="H17" s="85">
        <f t="shared" si="1"/>
        <v>169320000</v>
      </c>
      <c r="I17" s="86">
        <f t="shared" si="2"/>
        <v>191331600</v>
      </c>
      <c r="J17" s="86">
        <f t="shared" si="3"/>
        <v>135456000</v>
      </c>
      <c r="K17" s="87">
        <f t="shared" si="4"/>
        <v>478500</v>
      </c>
      <c r="L17" s="86">
        <f t="shared" si="5"/>
        <v>13147200.000000002</v>
      </c>
      <c r="M17" s="19"/>
    </row>
    <row r="18" spans="1:13" x14ac:dyDescent="0.3">
      <c r="A18" s="96" t="s">
        <v>10</v>
      </c>
      <c r="B18" s="97"/>
      <c r="C18" s="97"/>
      <c r="D18" s="98"/>
      <c r="E18" s="88">
        <f>SUM(E2:E17)</f>
        <v>63744</v>
      </c>
      <c r="F18" s="88">
        <f>SUM(F2:F17)</f>
        <v>70118.400000000009</v>
      </c>
      <c r="G18" s="89"/>
      <c r="H18" s="90">
        <f>SUM(H2:H17)</f>
        <v>2709120000</v>
      </c>
      <c r="I18" s="90">
        <f>SUM(I2:I17)</f>
        <v>3061305600</v>
      </c>
      <c r="J18" s="90">
        <f>SUM(J2:J17)</f>
        <v>2167296000</v>
      </c>
      <c r="K18" s="91"/>
      <c r="L18" s="92">
        <f>SUM(L2:L17)</f>
        <v>210355200.00000003</v>
      </c>
      <c r="M18" s="3"/>
    </row>
    <row r="19" spans="1:13" x14ac:dyDescent="0.3">
      <c r="F19" s="67"/>
    </row>
    <row r="20" spans="1:13" x14ac:dyDescent="0.3">
      <c r="M20" s="93">
        <f>F18*3000</f>
        <v>210355200.00000003</v>
      </c>
    </row>
    <row r="21" spans="1:13" x14ac:dyDescent="0.3">
      <c r="M21" s="94">
        <f>M20*38%</f>
        <v>79934976.000000015</v>
      </c>
    </row>
  </sheetData>
  <mergeCells count="1">
    <mergeCell ref="A18:D18"/>
  </mergeCells>
  <phoneticPr fontId="1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8"/>
  <sheetViews>
    <sheetView zoomScale="115" zoomScaleNormal="115" workbookViewId="0">
      <selection activeCell="A2" sqref="A2:K5"/>
    </sheetView>
  </sheetViews>
  <sheetFormatPr defaultRowHeight="15" x14ac:dyDescent="0.25"/>
  <cols>
    <col min="1" max="1" width="9.140625" style="52"/>
    <col min="2" max="2" width="17.5703125" style="52" customWidth="1"/>
    <col min="3" max="3" width="13.7109375" style="52" customWidth="1"/>
    <col min="4" max="4" width="10.42578125" style="52" customWidth="1"/>
    <col min="5" max="6" width="9.140625" style="52"/>
    <col min="7" max="7" width="19.28515625" style="52" customWidth="1"/>
    <col min="8" max="8" width="21" style="52" customWidth="1"/>
    <col min="9" max="9" width="23.5703125" style="1" customWidth="1"/>
    <col min="10" max="10" width="19.42578125" style="1" customWidth="1"/>
  </cols>
  <sheetData>
    <row r="1" spans="1:11" x14ac:dyDescent="0.25">
      <c r="A1" s="59" t="s">
        <v>3</v>
      </c>
      <c r="B1" s="59" t="s">
        <v>9</v>
      </c>
      <c r="C1" s="59"/>
      <c r="D1" s="59" t="s">
        <v>4</v>
      </c>
      <c r="E1" s="59" t="s">
        <v>5</v>
      </c>
      <c r="F1" s="59" t="s">
        <v>6</v>
      </c>
      <c r="G1" s="59" t="s">
        <v>7</v>
      </c>
      <c r="H1" s="59" t="s">
        <v>8</v>
      </c>
      <c r="I1" s="59" t="s">
        <v>19</v>
      </c>
      <c r="J1"/>
    </row>
    <row r="2" spans="1:11" ht="68.25" customHeight="1" x14ac:dyDescent="0.25">
      <c r="A2" s="69">
        <v>1</v>
      </c>
      <c r="B2" s="69">
        <v>4</v>
      </c>
      <c r="C2" s="70" t="s">
        <v>23</v>
      </c>
      <c r="D2" s="71">
        <f>77+252</f>
        <v>329</v>
      </c>
      <c r="E2" s="72" t="e">
        <f>'Wing -E'!#REF!</f>
        <v>#REF!</v>
      </c>
      <c r="F2" s="72">
        <f>'Wing -E'!F18</f>
        <v>70118.400000000009</v>
      </c>
      <c r="G2" s="73">
        <f>'Wing -E'!H18</f>
        <v>2709120000</v>
      </c>
      <c r="H2" s="73">
        <f>'Wing -E'!I18</f>
        <v>3061305600</v>
      </c>
      <c r="I2" s="73">
        <f>'Wing -E'!J18</f>
        <v>2167296000</v>
      </c>
      <c r="K2" s="1"/>
    </row>
    <row r="3" spans="1:11" x14ac:dyDescent="0.25">
      <c r="J3" s="74"/>
      <c r="K3" s="1"/>
    </row>
    <row r="4" spans="1:11" x14ac:dyDescent="0.25">
      <c r="J4" s="75"/>
      <c r="K4" s="1"/>
    </row>
    <row r="5" spans="1:11" x14ac:dyDescent="0.25">
      <c r="J5" s="76">
        <f>F2*2700</f>
        <v>189319680.00000003</v>
      </c>
      <c r="K5" s="1"/>
    </row>
    <row r="6" spans="1:11" x14ac:dyDescent="0.25">
      <c r="A6" s="60"/>
      <c r="B6" s="60"/>
      <c r="C6" s="60"/>
      <c r="D6" s="60"/>
      <c r="E6" s="60"/>
      <c r="F6" s="60"/>
      <c r="G6" s="60"/>
      <c r="H6" s="60"/>
      <c r="I6"/>
      <c r="J6" s="61"/>
    </row>
    <row r="7" spans="1:11" x14ac:dyDescent="0.25">
      <c r="A7" s="60"/>
      <c r="B7" s="60"/>
      <c r="C7" s="60"/>
      <c r="D7" s="60"/>
      <c r="E7" s="60"/>
      <c r="F7" s="60"/>
      <c r="G7" s="60"/>
      <c r="H7" s="60"/>
      <c r="I7"/>
      <c r="J7"/>
    </row>
    <row r="8" spans="1:11" x14ac:dyDescent="0.25">
      <c r="A8" s="60"/>
      <c r="B8" s="60"/>
      <c r="C8" s="60"/>
      <c r="D8" s="60"/>
      <c r="E8" s="60"/>
      <c r="F8" s="60"/>
      <c r="G8" s="60"/>
      <c r="H8" s="60"/>
      <c r="I8"/>
      <c r="J8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3:W34"/>
  <sheetViews>
    <sheetView zoomScale="130" zoomScaleNormal="130" workbookViewId="0">
      <selection activeCell="J22" sqref="J22"/>
    </sheetView>
  </sheetViews>
  <sheetFormatPr defaultRowHeight="15" x14ac:dyDescent="0.25"/>
  <cols>
    <col min="4" max="4" width="15.7109375" customWidth="1"/>
    <col min="11" max="11" width="12" bestFit="1" customWidth="1"/>
    <col min="20" max="20" width="8.7109375" customWidth="1"/>
    <col min="21" max="21" width="6" customWidth="1"/>
  </cols>
  <sheetData>
    <row r="3" spans="3:23" ht="21" x14ac:dyDescent="0.35">
      <c r="D3" s="4"/>
    </row>
    <row r="4" spans="3:23" ht="16.5" x14ac:dyDescent="0.25">
      <c r="T4" s="5"/>
      <c r="U4" s="5"/>
      <c r="V4" s="5"/>
      <c r="W4" s="5"/>
    </row>
    <row r="5" spans="3:23" ht="16.5" x14ac:dyDescent="0.25">
      <c r="Q5" s="5"/>
      <c r="R5" s="5"/>
      <c r="S5" s="5"/>
      <c r="T5" s="6"/>
      <c r="U5" s="6"/>
      <c r="V5" s="7"/>
      <c r="W5" s="2"/>
    </row>
    <row r="6" spans="3:23" ht="16.5" x14ac:dyDescent="0.25">
      <c r="Q6" s="8"/>
      <c r="R6" s="8"/>
      <c r="S6" s="8"/>
      <c r="T6" s="6"/>
      <c r="U6" s="6"/>
      <c r="V6" s="7"/>
      <c r="W6" s="2"/>
    </row>
    <row r="7" spans="3:23" ht="16.5" x14ac:dyDescent="0.25">
      <c r="Q7" s="8"/>
      <c r="R7" s="8"/>
      <c r="S7" s="8"/>
      <c r="T7" s="6"/>
      <c r="U7" s="6"/>
      <c r="V7" s="7"/>
      <c r="W7" s="2"/>
    </row>
    <row r="8" spans="3:23" ht="16.5" x14ac:dyDescent="0.25">
      <c r="Q8" s="8"/>
      <c r="R8" s="8"/>
      <c r="S8" s="8"/>
      <c r="T8" s="9"/>
      <c r="U8" s="10"/>
      <c r="V8" s="11"/>
      <c r="W8" s="12"/>
    </row>
    <row r="9" spans="3:23" ht="16.5" x14ac:dyDescent="0.25">
      <c r="Q9" s="8"/>
      <c r="R9" s="8"/>
      <c r="S9" s="8"/>
      <c r="T9" s="9"/>
      <c r="U9" s="8"/>
      <c r="V9" s="13"/>
      <c r="W9" s="12"/>
    </row>
    <row r="10" spans="3:23" ht="16.5" x14ac:dyDescent="0.25">
      <c r="Q10" s="14"/>
      <c r="R10" s="14"/>
      <c r="S10" s="14"/>
      <c r="T10" s="8"/>
      <c r="U10" s="8"/>
      <c r="V10" s="13"/>
      <c r="W10" s="12"/>
    </row>
    <row r="11" spans="3:23" ht="16.5" x14ac:dyDescent="0.25">
      <c r="E11" t="s">
        <v>24</v>
      </c>
      <c r="F11">
        <v>370.12</v>
      </c>
      <c r="G11" s="21">
        <f>F11*10.764</f>
        <v>3983.9716799999997</v>
      </c>
      <c r="H11">
        <v>7</v>
      </c>
      <c r="T11" s="13"/>
      <c r="U11" s="13"/>
      <c r="V11" s="13"/>
      <c r="W11" s="12"/>
    </row>
    <row r="12" spans="3:23" ht="17.25" thickBot="1" x14ac:dyDescent="0.3">
      <c r="T12" s="13"/>
      <c r="U12" s="13"/>
      <c r="V12" s="13"/>
      <c r="W12" s="12"/>
    </row>
    <row r="13" spans="3:23" ht="17.25" thickBot="1" x14ac:dyDescent="0.3">
      <c r="C13" s="62"/>
      <c r="D13" s="62"/>
      <c r="E13" s="62"/>
      <c r="F13" s="63"/>
      <c r="G13" s="62"/>
      <c r="T13" s="13"/>
      <c r="U13" s="13"/>
      <c r="V13" s="13"/>
      <c r="W13" s="12"/>
    </row>
    <row r="14" spans="3:23" ht="17.25" thickBot="1" x14ac:dyDescent="0.3">
      <c r="C14" s="62"/>
      <c r="D14" s="62"/>
      <c r="E14" s="62"/>
      <c r="F14" s="63"/>
      <c r="G14" s="62"/>
      <c r="T14" s="13"/>
      <c r="U14" s="13"/>
      <c r="V14" s="13"/>
      <c r="W14" s="12"/>
    </row>
    <row r="15" spans="3:23" ht="17.25" thickBot="1" x14ac:dyDescent="0.3">
      <c r="C15" s="22"/>
      <c r="D15" s="22"/>
      <c r="E15" s="22"/>
      <c r="F15" s="63"/>
      <c r="G15" s="22"/>
      <c r="T15" s="13"/>
      <c r="U15" s="13"/>
      <c r="V15" s="13"/>
      <c r="W15" s="12"/>
    </row>
    <row r="16" spans="3:23" x14ac:dyDescent="0.25">
      <c r="G16" s="64"/>
      <c r="K16">
        <v>9820620783</v>
      </c>
    </row>
    <row r="17" spans="2:23" x14ac:dyDescent="0.25">
      <c r="K17" t="s">
        <v>28</v>
      </c>
    </row>
    <row r="18" spans="2:23" ht="15.75" thickBot="1" x14ac:dyDescent="0.3"/>
    <row r="19" spans="2:23" ht="15.75" thickBot="1" x14ac:dyDescent="0.3">
      <c r="B19" s="26"/>
      <c r="C19" s="26"/>
      <c r="D19" s="26"/>
      <c r="E19" s="26"/>
      <c r="F19" s="26"/>
      <c r="G19" s="26"/>
    </row>
    <row r="20" spans="2:23" ht="15.75" thickBot="1" x14ac:dyDescent="0.3">
      <c r="C20" s="27"/>
      <c r="D20" s="27"/>
      <c r="E20" s="27"/>
      <c r="F20" s="21"/>
      <c r="G20" s="27"/>
    </row>
    <row r="21" spans="2:23" ht="17.25" thickBot="1" x14ac:dyDescent="0.3">
      <c r="B21" s="27"/>
      <c r="C21" s="57"/>
      <c r="D21" s="27"/>
      <c r="E21" s="27"/>
      <c r="F21" s="21"/>
      <c r="G21" s="27"/>
      <c r="M21" s="28"/>
      <c r="T21" s="13"/>
      <c r="U21" s="13"/>
      <c r="V21" s="13"/>
      <c r="W21" s="12"/>
    </row>
    <row r="22" spans="2:23" ht="15.75" thickBot="1" x14ac:dyDescent="0.3">
      <c r="B22" s="27"/>
      <c r="C22" s="57"/>
      <c r="D22" s="27"/>
      <c r="E22" s="27"/>
      <c r="F22" s="21"/>
      <c r="G22" s="27"/>
    </row>
    <row r="23" spans="2:23" ht="15.75" thickBot="1" x14ac:dyDescent="0.3">
      <c r="B23" s="27"/>
      <c r="C23" s="57"/>
      <c r="D23" s="27"/>
      <c r="E23" s="27"/>
      <c r="F23" s="21"/>
      <c r="G23" s="27"/>
    </row>
    <row r="24" spans="2:23" ht="15.75" thickBot="1" x14ac:dyDescent="0.3">
      <c r="B24" s="27"/>
      <c r="C24" s="57"/>
      <c r="D24" s="27"/>
      <c r="E24" s="27"/>
      <c r="F24" s="21"/>
      <c r="G24" s="27"/>
    </row>
    <row r="25" spans="2:23" ht="17.25" thickBot="1" x14ac:dyDescent="0.3">
      <c r="B25" s="27"/>
      <c r="C25" s="57"/>
      <c r="D25" s="27"/>
      <c r="E25" s="27"/>
      <c r="F25" s="21"/>
      <c r="G25" s="27"/>
      <c r="T25" s="15"/>
      <c r="U25" s="15"/>
      <c r="V25" s="15"/>
      <c r="W25" s="15"/>
    </row>
    <row r="26" spans="2:23" ht="17.25" thickBot="1" x14ac:dyDescent="0.3">
      <c r="B26" s="27"/>
      <c r="C26" s="57"/>
      <c r="D26" s="27"/>
      <c r="E26" s="27"/>
      <c r="F26" s="21"/>
      <c r="G26" s="27"/>
      <c r="O26" s="14"/>
      <c r="T26" s="15"/>
      <c r="U26" s="15"/>
      <c r="V26" s="15"/>
      <c r="W26" s="15"/>
    </row>
    <row r="27" spans="2:23" ht="15.75" thickBot="1" x14ac:dyDescent="0.3">
      <c r="B27" s="27"/>
      <c r="C27" s="57"/>
      <c r="D27" s="27"/>
      <c r="E27" s="27"/>
      <c r="F27" s="21"/>
      <c r="G27" s="27"/>
      <c r="Q27" s="24"/>
      <c r="S27" s="21"/>
    </row>
    <row r="28" spans="2:23" ht="15.75" thickBot="1" x14ac:dyDescent="0.3">
      <c r="B28" s="27"/>
      <c r="C28" s="57"/>
      <c r="D28" s="27"/>
      <c r="E28" s="27"/>
      <c r="F28" s="21"/>
      <c r="G28" s="27"/>
    </row>
    <row r="29" spans="2:23" ht="15.75" thickBot="1" x14ac:dyDescent="0.3">
      <c r="B29" s="22"/>
      <c r="C29" s="23"/>
      <c r="D29" s="22"/>
      <c r="E29" s="22"/>
      <c r="F29" s="21"/>
      <c r="G29" s="22"/>
      <c r="O29" s="14"/>
      <c r="S29" s="21"/>
    </row>
    <row r="30" spans="2:23" x14ac:dyDescent="0.25">
      <c r="G30" s="58"/>
      <c r="S30" s="21"/>
    </row>
    <row r="31" spans="2:23" x14ac:dyDescent="0.25">
      <c r="S31" s="21"/>
    </row>
    <row r="32" spans="2:23" x14ac:dyDescent="0.25">
      <c r="S32" s="21"/>
    </row>
    <row r="33" spans="17:19" x14ac:dyDescent="0.25">
      <c r="S33" s="21"/>
    </row>
    <row r="34" spans="17:19" x14ac:dyDescent="0.25">
      <c r="Q34" s="24"/>
      <c r="S34" s="21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J33:L33"/>
  <sheetViews>
    <sheetView topLeftCell="A40" zoomScale="130" zoomScaleNormal="130" workbookViewId="0">
      <selection activeCell="A40" sqref="A40"/>
    </sheetView>
  </sheetViews>
  <sheetFormatPr defaultRowHeight="12.75" x14ac:dyDescent="0.2"/>
  <cols>
    <col min="1" max="16384" width="9.140625" style="16"/>
  </cols>
  <sheetData>
    <row r="33" spans="10:12" ht="15" customHeight="1" x14ac:dyDescent="0.2">
      <c r="J33" s="16" t="s">
        <v>24</v>
      </c>
      <c r="K33" s="16">
        <v>370.1</v>
      </c>
      <c r="L33" s="29">
        <f>K33*10.764</f>
        <v>3983.7564000000002</v>
      </c>
    </row>
  </sheetData>
  <phoneticPr fontId="11" type="noConversion"/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AD75BC-AB72-4D0F-B842-545365663BDA}">
  <dimension ref="A1:P72"/>
  <sheetViews>
    <sheetView zoomScale="130" zoomScaleNormal="130" workbookViewId="0">
      <selection activeCell="G7" sqref="G7"/>
    </sheetView>
  </sheetViews>
  <sheetFormatPr defaultRowHeight="15" x14ac:dyDescent="0.25"/>
  <cols>
    <col min="1" max="3" width="10.140625" customWidth="1"/>
    <col min="4" max="4" width="13.5703125" customWidth="1"/>
    <col min="6" max="7" width="16" customWidth="1"/>
    <col min="8" max="8" width="19.5703125" customWidth="1"/>
    <col min="9" max="9" width="14.85546875" customWidth="1"/>
    <col min="10" max="10" width="18" customWidth="1"/>
    <col min="11" max="11" width="20" customWidth="1"/>
    <col min="13" max="16" width="9.140625" style="1"/>
  </cols>
  <sheetData>
    <row r="1" spans="1:12" ht="21.75" thickBot="1" x14ac:dyDescent="0.4">
      <c r="A1" s="30"/>
      <c r="B1" s="30"/>
      <c r="C1" s="30"/>
    </row>
    <row r="2" spans="1:12" ht="49.5" x14ac:dyDescent="0.25">
      <c r="A2" s="31" t="s">
        <v>11</v>
      </c>
      <c r="B2" s="31" t="s">
        <v>5</v>
      </c>
      <c r="C2" s="31"/>
      <c r="D2" s="32" t="s">
        <v>26</v>
      </c>
      <c r="E2" s="33" t="s">
        <v>27</v>
      </c>
      <c r="F2" s="34" t="s">
        <v>12</v>
      </c>
      <c r="G2" s="35" t="s">
        <v>18</v>
      </c>
      <c r="H2" s="35" t="s">
        <v>25</v>
      </c>
      <c r="I2" s="35" t="s">
        <v>13</v>
      </c>
      <c r="J2" s="36" t="s">
        <v>14</v>
      </c>
      <c r="K2" s="37" t="s">
        <v>15</v>
      </c>
      <c r="L2" s="38" t="s">
        <v>16</v>
      </c>
    </row>
    <row r="3" spans="1:12" ht="16.5" x14ac:dyDescent="0.25">
      <c r="A3" s="39">
        <v>1505</v>
      </c>
      <c r="B3" s="77">
        <f>C3/10.764</f>
        <v>77.84545454545453</v>
      </c>
      <c r="C3" s="39">
        <f>E3/1.1</f>
        <v>837.92847272727249</v>
      </c>
      <c r="D3" s="40">
        <v>85.63</v>
      </c>
      <c r="E3" s="39">
        <f>D3*10.764</f>
        <v>921.72131999999988</v>
      </c>
      <c r="F3" s="40">
        <v>32070000</v>
      </c>
      <c r="G3" s="40">
        <f t="shared" ref="G3:G8" si="0">F3/C3</f>
        <v>38272.956515750346</v>
      </c>
      <c r="H3" s="40">
        <f>F3/E3</f>
        <v>34793.596832500312</v>
      </c>
      <c r="I3" s="40">
        <v>1924200</v>
      </c>
      <c r="J3" s="40">
        <v>30000</v>
      </c>
      <c r="K3" s="40">
        <f>F3+I3+J3</f>
        <v>34024200</v>
      </c>
      <c r="L3" s="41">
        <f>K3/E3</f>
        <v>36913.760441171093</v>
      </c>
    </row>
    <row r="4" spans="1:12" ht="16.5" x14ac:dyDescent="0.25">
      <c r="A4" s="39">
        <v>720</v>
      </c>
      <c r="B4">
        <f>C4/10.764</f>
        <v>118.9</v>
      </c>
      <c r="C4" s="39">
        <f>118.9*10.764</f>
        <v>1279.8396</v>
      </c>
      <c r="D4" s="40"/>
      <c r="E4" s="39">
        <f>C4/1.1</f>
        <v>1163.4905454545453</v>
      </c>
      <c r="F4" s="40">
        <v>36499918</v>
      </c>
      <c r="G4" s="40">
        <f t="shared" si="0"/>
        <v>28519.134741572303</v>
      </c>
      <c r="H4" s="40">
        <f t="shared" ref="H4:H11" si="1">F4/E4</f>
        <v>31371.048215729537</v>
      </c>
      <c r="I4" s="40">
        <v>2190000</v>
      </c>
      <c r="J4" s="40">
        <v>30000</v>
      </c>
      <c r="K4" s="40">
        <f t="shared" ref="K4:K13" si="2">F4+I4+J4</f>
        <v>38719918</v>
      </c>
      <c r="L4" s="41">
        <f t="shared" ref="L4:L13" si="3">K4/E4</f>
        <v>33279.099818446004</v>
      </c>
    </row>
    <row r="5" spans="1:12" ht="16.5" x14ac:dyDescent="0.25">
      <c r="A5" s="39">
        <v>1202</v>
      </c>
      <c r="B5">
        <f>C5/10.764</f>
        <v>92.9</v>
      </c>
      <c r="C5" s="39">
        <f>92.9*10.764</f>
        <v>999.97559999999999</v>
      </c>
      <c r="D5" s="40">
        <v>97.46</v>
      </c>
      <c r="E5" s="39">
        <f>D5*10.764</f>
        <v>1049.0594399999998</v>
      </c>
      <c r="F5" s="40">
        <v>36800000</v>
      </c>
      <c r="G5" s="40">
        <f t="shared" si="0"/>
        <v>36800.897941909781</v>
      </c>
      <c r="H5" s="40">
        <f t="shared" si="1"/>
        <v>35079.04185105089</v>
      </c>
      <c r="I5" s="40"/>
      <c r="J5" s="40">
        <v>30000</v>
      </c>
      <c r="K5" s="40">
        <f t="shared" si="2"/>
        <v>36830000</v>
      </c>
      <c r="L5" s="41">
        <f t="shared" si="3"/>
        <v>35107.638896038159</v>
      </c>
    </row>
    <row r="6" spans="1:12" ht="16.5" x14ac:dyDescent="0.25">
      <c r="A6" s="53">
        <v>1702</v>
      </c>
      <c r="B6">
        <f>108.14+5.3</f>
        <v>113.44</v>
      </c>
      <c r="C6" s="53">
        <f>B6*10.764</f>
        <v>1221.0681599999998</v>
      </c>
      <c r="D6" s="54">
        <v>118.95</v>
      </c>
      <c r="E6" s="39">
        <f>D6*10.764</f>
        <v>1280.3778</v>
      </c>
      <c r="F6" s="54">
        <v>51400000</v>
      </c>
      <c r="G6" s="54">
        <f t="shared" si="0"/>
        <v>42094.292262931507</v>
      </c>
      <c r="H6" s="54">
        <f t="shared" si="1"/>
        <v>40144.401129104241</v>
      </c>
      <c r="I6" s="54"/>
      <c r="J6" s="54">
        <v>30000</v>
      </c>
      <c r="K6" s="54">
        <f t="shared" si="2"/>
        <v>51430000</v>
      </c>
      <c r="L6" s="55">
        <f t="shared" si="3"/>
        <v>40167.831713420834</v>
      </c>
    </row>
    <row r="7" spans="1:12" ht="16.5" x14ac:dyDescent="0.25">
      <c r="A7" s="53">
        <v>1402</v>
      </c>
      <c r="B7" s="53">
        <f>152.36+5.3</f>
        <v>157.66000000000003</v>
      </c>
      <c r="C7" s="53">
        <f>B7*10.764</f>
        <v>1697.0522400000002</v>
      </c>
      <c r="D7" s="54">
        <v>173.42</v>
      </c>
      <c r="E7" s="53">
        <f t="shared" ref="E7:E9" si="4">D7*10.764</f>
        <v>1866.6928799999998</v>
      </c>
      <c r="F7" s="54">
        <v>68000000</v>
      </c>
      <c r="G7" s="54">
        <f t="shared" si="0"/>
        <v>40069.479534701888</v>
      </c>
      <c r="H7" s="54">
        <f t="shared" si="1"/>
        <v>36428.05987453062</v>
      </c>
      <c r="I7" s="54"/>
      <c r="J7" s="54">
        <v>30000</v>
      </c>
      <c r="K7" s="54">
        <f t="shared" si="2"/>
        <v>68030000</v>
      </c>
      <c r="L7" s="55">
        <f t="shared" si="3"/>
        <v>36444.131077416445</v>
      </c>
    </row>
    <row r="8" spans="1:12" ht="16.5" x14ac:dyDescent="0.25">
      <c r="A8" s="53">
        <v>1802</v>
      </c>
      <c r="B8">
        <v>108</v>
      </c>
      <c r="C8" s="53">
        <f>B8*10.764</f>
        <v>1162.5119999999999</v>
      </c>
      <c r="D8" s="54">
        <v>118.95</v>
      </c>
      <c r="E8" s="53">
        <f t="shared" si="4"/>
        <v>1280.3778</v>
      </c>
      <c r="F8" s="54">
        <v>48100000</v>
      </c>
      <c r="G8" s="54">
        <f t="shared" si="0"/>
        <v>41375.916979781716</v>
      </c>
      <c r="H8" s="54">
        <f t="shared" si="1"/>
        <v>37567.036854278478</v>
      </c>
      <c r="I8" s="54"/>
      <c r="J8" s="54">
        <v>30000</v>
      </c>
      <c r="K8" s="54">
        <f t="shared" si="2"/>
        <v>48130000</v>
      </c>
      <c r="L8" s="55">
        <f t="shared" si="3"/>
        <v>37590.467438595078</v>
      </c>
    </row>
    <row r="9" spans="1:12" ht="16.5" x14ac:dyDescent="0.25">
      <c r="A9" s="53"/>
      <c r="B9" s="53"/>
      <c r="C9" s="53"/>
      <c r="D9" s="54"/>
      <c r="E9" s="53">
        <f t="shared" si="4"/>
        <v>0</v>
      </c>
      <c r="F9" s="54"/>
      <c r="G9" s="54" t="e">
        <f t="shared" ref="G9" si="5">F9/B9</f>
        <v>#DIV/0!</v>
      </c>
      <c r="H9" s="54" t="e">
        <f t="shared" si="1"/>
        <v>#DIV/0!</v>
      </c>
      <c r="I9" s="54"/>
      <c r="J9" s="54">
        <v>30000</v>
      </c>
      <c r="K9" s="54">
        <f t="shared" si="2"/>
        <v>30000</v>
      </c>
      <c r="L9" s="55" t="e">
        <f t="shared" si="3"/>
        <v>#DIV/0!</v>
      </c>
    </row>
    <row r="10" spans="1:12" ht="16.5" x14ac:dyDescent="0.25">
      <c r="A10" s="53"/>
      <c r="B10" s="53"/>
      <c r="C10" s="53"/>
      <c r="D10" s="54">
        <f t="shared" ref="D10" si="6">E10/10.764</f>
        <v>0</v>
      </c>
      <c r="E10" s="53"/>
      <c r="F10" s="56"/>
      <c r="G10" s="56"/>
      <c r="H10" s="54" t="e">
        <f t="shared" si="1"/>
        <v>#DIV/0!</v>
      </c>
      <c r="I10" s="56"/>
      <c r="J10" s="54">
        <v>30000</v>
      </c>
      <c r="K10" s="54">
        <f t="shared" si="2"/>
        <v>30000</v>
      </c>
      <c r="L10" s="55" t="e">
        <f t="shared" si="3"/>
        <v>#DIV/0!</v>
      </c>
    </row>
    <row r="11" spans="1:12" ht="16.5" x14ac:dyDescent="0.25">
      <c r="A11" s="53"/>
      <c r="B11" s="53"/>
      <c r="C11" s="53"/>
      <c r="D11" s="54"/>
      <c r="E11" s="53"/>
      <c r="F11" s="56"/>
      <c r="G11" s="56"/>
      <c r="H11" s="54" t="e">
        <f t="shared" si="1"/>
        <v>#DIV/0!</v>
      </c>
      <c r="I11" s="56"/>
      <c r="J11" s="54">
        <v>30000</v>
      </c>
      <c r="K11" s="54">
        <f t="shared" si="2"/>
        <v>30000</v>
      </c>
      <c r="L11" s="55" t="e">
        <f t="shared" si="3"/>
        <v>#DIV/0!</v>
      </c>
    </row>
    <row r="12" spans="1:12" ht="16.5" x14ac:dyDescent="0.25">
      <c r="A12" s="53"/>
      <c r="B12" s="53"/>
      <c r="C12" s="53"/>
      <c r="D12" s="54"/>
      <c r="E12" s="53">
        <f t="shared" ref="E12:E16" si="7">D12*10.764</f>
        <v>0</v>
      </c>
      <c r="F12" s="56"/>
      <c r="G12" s="56"/>
      <c r="H12" s="54"/>
      <c r="I12" s="56"/>
      <c r="J12" s="54">
        <v>30000</v>
      </c>
      <c r="K12" s="54">
        <f t="shared" si="2"/>
        <v>30000</v>
      </c>
      <c r="L12" s="55" t="e">
        <f t="shared" si="3"/>
        <v>#DIV/0!</v>
      </c>
    </row>
    <row r="13" spans="1:12" ht="16.5" x14ac:dyDescent="0.25">
      <c r="A13" s="53"/>
      <c r="B13" s="53"/>
      <c r="C13" s="53"/>
      <c r="D13" s="54"/>
      <c r="E13" s="53">
        <f t="shared" si="7"/>
        <v>0</v>
      </c>
      <c r="F13" s="56"/>
      <c r="G13" s="56"/>
      <c r="H13" s="54"/>
      <c r="I13" s="56"/>
      <c r="J13" s="56"/>
      <c r="K13" s="54">
        <f t="shared" si="2"/>
        <v>0</v>
      </c>
      <c r="L13" s="55" t="e">
        <f t="shared" si="3"/>
        <v>#DIV/0!</v>
      </c>
    </row>
    <row r="14" spans="1:12" ht="16.5" x14ac:dyDescent="0.25">
      <c r="A14" s="53"/>
      <c r="B14" s="53"/>
      <c r="C14" s="53"/>
      <c r="D14" s="54"/>
      <c r="E14" s="53">
        <f t="shared" si="7"/>
        <v>0</v>
      </c>
      <c r="F14" s="54"/>
      <c r="G14" s="54"/>
      <c r="H14" s="54"/>
      <c r="I14" s="54"/>
      <c r="J14" s="54"/>
      <c r="K14" s="54">
        <f>F14+I14+J14</f>
        <v>0</v>
      </c>
      <c r="L14" s="55"/>
    </row>
    <row r="15" spans="1:12" ht="16.5" x14ac:dyDescent="0.25">
      <c r="A15" s="53"/>
      <c r="B15" s="53"/>
      <c r="C15" s="53"/>
      <c r="D15" s="54"/>
      <c r="E15" s="53">
        <f t="shared" si="7"/>
        <v>0</v>
      </c>
      <c r="F15" s="54"/>
      <c r="G15" s="54"/>
      <c r="H15" s="54"/>
      <c r="I15" s="54"/>
      <c r="J15" s="54"/>
      <c r="K15" s="54">
        <f>F15+I15+J15</f>
        <v>0</v>
      </c>
      <c r="L15" s="55"/>
    </row>
    <row r="16" spans="1:12" ht="16.5" x14ac:dyDescent="0.25">
      <c r="A16" s="53"/>
      <c r="B16" s="53"/>
      <c r="C16" s="53"/>
      <c r="D16" s="54"/>
      <c r="E16" s="53">
        <f t="shared" si="7"/>
        <v>0</v>
      </c>
      <c r="F16" s="54"/>
      <c r="G16" s="54"/>
      <c r="H16" s="54"/>
      <c r="I16" s="54"/>
      <c r="J16" s="54"/>
      <c r="K16" s="54">
        <f>F16+I16+J16</f>
        <v>0</v>
      </c>
      <c r="L16" s="55"/>
    </row>
    <row r="17" spans="1:12" ht="16.5" x14ac:dyDescent="0.25">
      <c r="A17" s="42"/>
      <c r="B17" s="42"/>
      <c r="C17" s="42"/>
      <c r="D17" s="40" t="e">
        <f>E17/10.764</f>
        <v>#REF!</v>
      </c>
      <c r="E17" s="39" t="e">
        <f>#REF!/1.1</f>
        <v>#REF!</v>
      </c>
      <c r="F17" s="40"/>
      <c r="G17" s="40"/>
      <c r="H17" s="40"/>
      <c r="I17" s="40"/>
      <c r="J17" s="40"/>
      <c r="K17" s="40">
        <f>F17+I17+J17</f>
        <v>0</v>
      </c>
      <c r="L17" s="41"/>
    </row>
    <row r="18" spans="1:12" ht="16.5" x14ac:dyDescent="0.25">
      <c r="A18" s="42"/>
      <c r="B18" s="42"/>
      <c r="C18" s="42"/>
      <c r="D18" s="40"/>
      <c r="E18" s="43"/>
      <c r="F18" s="40"/>
      <c r="G18" s="40"/>
      <c r="H18" s="39"/>
      <c r="I18" s="40"/>
      <c r="J18" s="40"/>
      <c r="K18" s="40"/>
      <c r="L18" s="41"/>
    </row>
    <row r="19" spans="1:12" ht="17.25" thickBot="1" x14ac:dyDescent="0.3">
      <c r="A19" s="44"/>
      <c r="B19" s="44"/>
      <c r="C19" s="44"/>
      <c r="D19" s="45"/>
      <c r="E19" s="46"/>
      <c r="F19" s="45"/>
      <c r="G19" s="45"/>
      <c r="H19" s="47"/>
      <c r="I19" s="45"/>
      <c r="J19" s="45"/>
      <c r="K19" s="45"/>
      <c r="L19" s="48"/>
    </row>
    <row r="20" spans="1:12" ht="17.25" thickBot="1" x14ac:dyDescent="0.35">
      <c r="A20" s="49"/>
      <c r="B20" s="49"/>
      <c r="C20" s="49"/>
      <c r="D20" s="49"/>
      <c r="E20" s="49"/>
      <c r="F20" s="49"/>
      <c r="G20" s="49"/>
      <c r="H20" s="50" t="e">
        <f>AVERAGE(H3:H19)</f>
        <v>#DIV/0!</v>
      </c>
      <c r="I20" s="99" t="s">
        <v>17</v>
      </c>
      <c r="J20" s="99"/>
      <c r="K20" s="99"/>
      <c r="L20" s="51" t="e">
        <f>AVERAGE(L3:L19)</f>
        <v>#DIV/0!</v>
      </c>
    </row>
    <row r="28" spans="1:12" x14ac:dyDescent="0.25">
      <c r="F28" s="68"/>
      <c r="G28" s="68"/>
    </row>
    <row r="29" spans="1:12" x14ac:dyDescent="0.25">
      <c r="F29" s="61"/>
      <c r="G29" s="61"/>
    </row>
    <row r="71" spans="4:4" x14ac:dyDescent="0.25">
      <c r="D71">
        <v>192200</v>
      </c>
    </row>
    <row r="72" spans="4:4" x14ac:dyDescent="0.25">
      <c r="D72">
        <f>D71/10.764</f>
        <v>17855.815681902641</v>
      </c>
    </row>
  </sheetData>
  <mergeCells count="1">
    <mergeCell ref="I20:K20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5BF18F-CE0B-44B1-B3F9-8D180A2FCA64}">
  <dimension ref="A1"/>
  <sheetViews>
    <sheetView topLeftCell="A121" zoomScaleNormal="100" workbookViewId="0">
      <selection activeCell="P152" sqref="P15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8068E8-2015-43EE-B7BD-F4B68CCD3771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135995-73C8-4767-BE40-FC28D34E7C35}">
  <dimension ref="I9"/>
  <sheetViews>
    <sheetView workbookViewId="0">
      <selection activeCell="I9" sqref="I9"/>
    </sheetView>
  </sheetViews>
  <sheetFormatPr defaultRowHeight="15" x14ac:dyDescent="0.25"/>
  <sheetData>
    <row r="9" spans="9:9" ht="30" x14ac:dyDescent="0.4">
      <c r="I9" s="25"/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Wing -E</vt:lpstr>
      <vt:lpstr>Total</vt:lpstr>
      <vt:lpstr>Rera</vt:lpstr>
      <vt:lpstr>Typical Floor</vt:lpstr>
      <vt:lpstr>IGR</vt:lpstr>
      <vt:lpstr>RR</vt:lpstr>
      <vt:lpstr>Rates</vt:lpstr>
      <vt:lpstr>Sheet1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2025-02-28T07:42:26Z</dcterms:modified>
</cp:coreProperties>
</file>