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928"/>
  <workbookPr/>
  <mc:AlternateContent xmlns:mc="http://schemas.openxmlformats.org/markup-compatibility/2006">
    <mc:Choice Requires="x15">
      <x15ac:absPath xmlns:x15ac="http://schemas.microsoft.com/office/spreadsheetml/2010/11/ac" url="D:\Valuation Work\Project &amp; Cost Vetting Folder\Sheetal Regalia\02.12.2024\"/>
    </mc:Choice>
  </mc:AlternateContent>
  <xr:revisionPtr revIDLastSave="0" documentId="13_ncr:1_{94EF21A4-B0F4-4491-9A3C-27B73C72EA8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ummary VCIPL" sheetId="4" r:id="rId1"/>
    <sheet name="Land, Stamp Duty and rent cost" sheetId="26" r:id="rId2"/>
    <sheet name="Permission Charges" sheetId="33" r:id="rId3"/>
    <sheet name="Construction Area Statement (2)" sheetId="34" r:id="rId4"/>
    <sheet name="Revised Area Stmt" sheetId="46" r:id="rId5"/>
    <sheet name="Revised Unsold Inventory" sheetId="49" r:id="rId6"/>
    <sheet name="Revised Sold Inventory" sheetId="48" r:id="rId7"/>
    <sheet name="Revised Tenant Inventory" sheetId="47" r:id="rId8"/>
    <sheet name="Sheet1" sheetId="50" r:id="rId9"/>
    <sheet name="Sheet2" sheetId="10" state="hidden" r:id="rId10"/>
  </sheets>
  <definedNames>
    <definedName name="___fco2" localSheetId="4" hidden="1">{#N/A,#N/A,FALSE,"gc (2)"}</definedName>
    <definedName name="___fco2" hidden="1">{#N/A,#N/A,FALSE,"gc (2)"}</definedName>
    <definedName name="___key1" hidden="1">#REF!</definedName>
    <definedName name="___key2" hidden="1">#REF!</definedName>
    <definedName name="___MR10" localSheetId="4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___MR10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___ram1" localSheetId="4" hidden="1">{#N/A,#N/A,FALSE,"gc (2)"}</definedName>
    <definedName name="___ram1" hidden="1">{#N/A,#N/A,FALSE,"gc (2)"}</definedName>
    <definedName name="___sti02" localSheetId="4" hidden="1">{#N/A,#N/A,FALSE,"gc (2)"}</definedName>
    <definedName name="___sti02" hidden="1">{#N/A,#N/A,FALSE,"gc (2)"}</definedName>
    <definedName name="___t1" localSheetId="4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___t1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___t2" localSheetId="4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___t2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___ta1" localSheetId="4" hidden="1">{#N/A,#N/A,TRUE,"Financials";#N/A,#N/A,TRUE,"Operating Statistics";#N/A,#N/A,TRUE,"Capex &amp; Depreciation";#N/A,#N/A,TRUE,"Debt"}</definedName>
    <definedName name="___ta1" hidden="1">{#N/A,#N/A,TRUE,"Financials";#N/A,#N/A,TRUE,"Operating Statistics";#N/A,#N/A,TRUE,"Capex &amp; Depreciation";#N/A,#N/A,TRUE,"Debt"}</definedName>
    <definedName name="___tb1" localSheetId="4" hidden="1">{#N/A,#N/A,FALSE,"One Pager";#N/A,#N/A,FALSE,"Technical"}</definedName>
    <definedName name="___tb1" hidden="1">{#N/A,#N/A,FALSE,"One Pager";#N/A,#N/A,FALSE,"Technical"}</definedName>
    <definedName name="___xlfn.BAHTTEXT" hidden="1">#NAME?</definedName>
    <definedName name="__123Graph_AIncome" hidden="1">#REF!</definedName>
    <definedName name="__123Graph_ASummary" hidden="1">#REF!</definedName>
    <definedName name="__123Graph_B" hidden="1">#REF!</definedName>
    <definedName name="__123Graph_BIncome" hidden="1">#REF!</definedName>
    <definedName name="__123Graph_BSummary" hidden="1">#REF!</definedName>
    <definedName name="__123Graph_D" hidden="1">#REF!</definedName>
    <definedName name="__123Graph_F" hidden="1">#REF!</definedName>
    <definedName name="__123Graph_X" hidden="1">#REF!</definedName>
    <definedName name="__123Graph_XIncome" hidden="1">#REF!</definedName>
    <definedName name="__FDS_HYPERLINK_TOGGLE_STATE__" hidden="1">"ON"</definedName>
    <definedName name="__IntlFixup" hidden="1">TRUE</definedName>
    <definedName name="__IntlFixupTable" hidden="1">#REF!</definedName>
    <definedName name="__key1" hidden="1">#REF!</definedName>
    <definedName name="__key2" hidden="1">#REF!</definedName>
    <definedName name="__MR10" localSheetId="4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__MR10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__t1" localSheetId="4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__t1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__ta1" localSheetId="4" hidden="1">{#N/A,#N/A,TRUE,"Financials";#N/A,#N/A,TRUE,"Operating Statistics";#N/A,#N/A,TRUE,"Capex &amp; Depreciation";#N/A,#N/A,TRUE,"Debt"}</definedName>
    <definedName name="__ta1" hidden="1">{#N/A,#N/A,TRUE,"Financials";#N/A,#N/A,TRUE,"Operating Statistics";#N/A,#N/A,TRUE,"Capex &amp; Depreciation";#N/A,#N/A,TRUE,"Debt"}</definedName>
    <definedName name="__tb1" localSheetId="4" hidden="1">{#N/A,#N/A,FALSE,"One Pager";#N/A,#N/A,FALSE,"Technical"}</definedName>
    <definedName name="__tb1" hidden="1">{#N/A,#N/A,FALSE,"One Pager";#N/A,#N/A,FALSE,"Technical"}</definedName>
    <definedName name="__xlfn.BAHTTEXT" hidden="1">#NAME?</definedName>
    <definedName name="_1__123Graph_AAdmin_Expenses" hidden="1">#REF!</definedName>
    <definedName name="_2__123Graph_AChart_1AJ" hidden="1">#REF!</definedName>
    <definedName name="_2__123Graph_AService_Expense" hidden="1">#REF!</definedName>
    <definedName name="_3__123Graph_AChart_1Q" hidden="1">#REF!</definedName>
    <definedName name="_3__123Graph_BAdmin_Expenses" hidden="1">#REF!</definedName>
    <definedName name="_4__123Graph_BChart_1Q" hidden="1">#REF!</definedName>
    <definedName name="_4__123Graph_BService_Expense" hidden="1">#REF!</definedName>
    <definedName name="_5__123Graph_XAdmin_Expenses" hidden="1">#REF!</definedName>
    <definedName name="_6__123Graph_XService_Expense" hidden="1">#REF!</definedName>
    <definedName name="_a1" localSheetId="4" hidden="1">{"Assump",#N/A,TRUE,"Proforma";"first",#N/A,TRUE,"Proforma";"second",#N/A,TRUE,"Proforma";"lease1",#N/A,TRUE,"Proforma";"lease2",#N/A,TRUE,"Proforma"}</definedName>
    <definedName name="_a1" hidden="1">{"Assump",#N/A,TRUE,"Proforma";"first",#N/A,TRUE,"Proforma";"second",#N/A,TRUE,"Proforma";"lease1",#N/A,TRUE,"Proforma";"lease2",#N/A,TRUE,"Proforma"}</definedName>
    <definedName name="_Dist_Values" hidden="1">#REF!</definedName>
    <definedName name="_e4" localSheetId="4" hidden="1">{"new",#N/A,FALSE,"D";"PROFORMA",#N/A,FALSE,"A";"partial 1",#N/A,FALSE,"B";"partial 2",#N/A,FALSE,"B";"partial 3",#N/A,FALSE,"B";"SMALL CF 1",#N/A,FALSE,"C"}</definedName>
    <definedName name="_e4" hidden="1">{"new",#N/A,FALSE,"D";"PROFORMA",#N/A,FALSE,"A";"partial 1",#N/A,FALSE,"B";"partial 2",#N/A,FALSE,"B";"partial 3",#N/A,FALSE,"B";"SMALL CF 1",#N/A,FALSE,"C"}</definedName>
    <definedName name="_fco2" localSheetId="4" hidden="1">{#N/A,#N/A,FALSE,"gc (2)"}</definedName>
    <definedName name="_fco2" hidden="1">{#N/A,#N/A,FALSE,"gc (2)"}</definedName>
    <definedName name="_Fill" hidden="1">#REF!</definedName>
    <definedName name="_xlnm._FilterDatabase" localSheetId="2" hidden="1">'Permission Charges'!#REF!</definedName>
    <definedName name="_xlnm._FilterDatabase" localSheetId="4" hidden="1">'Revised Area Stmt'!$B$1:$T$485</definedName>
    <definedName name="_Key1" localSheetId="4" hidden="1">#REF!</definedName>
    <definedName name="_Key1" hidden="1">#REF!</definedName>
    <definedName name="_Key2" localSheetId="4" hidden="1">#REF!</definedName>
    <definedName name="_Key2" hidden="1">#REF!</definedName>
    <definedName name="_MR10" localSheetId="4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_MR10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_Order1" hidden="1">255</definedName>
    <definedName name="_Order2" hidden="1">255</definedName>
    <definedName name="_Parse_Out" hidden="1">#REF!</definedName>
    <definedName name="_ram1" localSheetId="4" hidden="1">{#N/A,#N/A,FALSE,"gc (2)"}</definedName>
    <definedName name="_ram1" hidden="1">{#N/A,#N/A,FALSE,"gc (2)"}</definedName>
    <definedName name="_Sort" hidden="1">#REF!</definedName>
    <definedName name="_sti02" localSheetId="4" hidden="1">{#N/A,#N/A,FALSE,"gc (2)"}</definedName>
    <definedName name="_sti02" hidden="1">{#N/A,#N/A,FALSE,"gc (2)"}</definedName>
    <definedName name="_t1" localSheetId="4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_t1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_t2" localSheetId="4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_t2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_ta1" localSheetId="4" hidden="1">{#N/A,#N/A,TRUE,"Financials";#N/A,#N/A,TRUE,"Operating Statistics";#N/A,#N/A,TRUE,"Capex &amp; Depreciation";#N/A,#N/A,TRUE,"Debt"}</definedName>
    <definedName name="_ta1" hidden="1">{#N/A,#N/A,TRUE,"Financials";#N/A,#N/A,TRUE,"Operating Statistics";#N/A,#N/A,TRUE,"Capex &amp; Depreciation";#N/A,#N/A,TRUE,"Debt"}</definedName>
    <definedName name="_Table1_In1" hidden="1">#REF!</definedName>
    <definedName name="_Table1_Out" hidden="1">#REF!</definedName>
    <definedName name="_Table2_In1" hidden="1">#REF!</definedName>
    <definedName name="_Table2_In2" hidden="1">#REF!</definedName>
    <definedName name="_Table2_Out" hidden="1">#REF!</definedName>
    <definedName name="_tb1" localSheetId="4" hidden="1">{#N/A,#N/A,FALSE,"One Pager";#N/A,#N/A,FALSE,"Technical"}</definedName>
    <definedName name="_tb1" hidden="1">{#N/A,#N/A,FALSE,"One Pager";#N/A,#N/A,FALSE,"Technical"}</definedName>
    <definedName name="AA.Report.Files" hidden="1">#REF!</definedName>
    <definedName name="AA.Reports.Available" hidden="1">#REF!</definedName>
    <definedName name="aaa" localSheetId="4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aaa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aaaa" localSheetId="4" hidden="1">{#N/A,#N/A,FALSE,"Sheet1";#N/A,#N/A,FALSE,"cost";#N/A,#N/A,FALSE,"prog";#N/A,#N/A,FALSE,"Nova-Area";#N/A,#N/A,FALSE,"BM-NOVA";#N/A,#N/A,FALSE,"Metropolis";#N/A,#N/A,FALSE,"BM-Metropolis";#N/A,#N/A,FALSE,"monthcf";#N/A,#N/A,FALSE,"Repayment Schedule"}</definedName>
    <definedName name="aaaa" hidden="1">{#N/A,#N/A,FALSE,"Sheet1";#N/A,#N/A,FALSE,"cost";#N/A,#N/A,FALSE,"prog";#N/A,#N/A,FALSE,"Nova-Area";#N/A,#N/A,FALSE,"BM-NOVA";#N/A,#N/A,FALSE,"Metropolis";#N/A,#N/A,FALSE,"BM-Metropolis";#N/A,#N/A,FALSE,"monthcf";#N/A,#N/A,FALSE,"Repayment Schedule"}</definedName>
    <definedName name="abababa" localSheetId="4" hidden="1">{#N/A,#N/A,FALSE,"BANKLIMITS";#N/A,#N/A,FALSE,"OPSTATE";#N/A,#N/A,FALSE,"BEP sales";#N/A,#N/A,FALSE,"Capacity-rolling";#N/A,#N/A,FALSE,"Capacity ingot";#N/A,#N/A,FALSE,"DSCR-TL";#N/A,#N/A,FALSE,"DSCR GROSS";#N/A,#N/A,FALSE,"BSLIABILITY";#N/A,#N/A,FALSE,"BSASSETS";#N/A,#N/A,FALSE,"CABUILDUP";#N/A,#N/A,FALSE,"WCASSESS";#N/A,#N/A,FALSE,"FUNDFLOW";#N/A,#N/A,FALSE,"RATIOS";#N/A,#N/A,FALSE,"Term loan";#N/A,#N/A,FALSE,"Depreciation"}</definedName>
    <definedName name="abababa" hidden="1">{#N/A,#N/A,FALSE,"BANKLIMITS";#N/A,#N/A,FALSE,"OPSTATE";#N/A,#N/A,FALSE,"BEP sales";#N/A,#N/A,FALSE,"Capacity-rolling";#N/A,#N/A,FALSE,"Capacity ingot";#N/A,#N/A,FALSE,"DSCR-TL";#N/A,#N/A,FALSE,"DSCR GROSS";#N/A,#N/A,FALSE,"BSLIABILITY";#N/A,#N/A,FALSE,"BSASSETS";#N/A,#N/A,FALSE,"CABUILDUP";#N/A,#N/A,FALSE,"WCASSESS";#N/A,#N/A,FALSE,"FUNDFLOW";#N/A,#N/A,FALSE,"RATIOS";#N/A,#N/A,FALSE,"Term loan";#N/A,#N/A,FALSE,"Depreciation"}</definedName>
    <definedName name="abc" localSheetId="4" hidden="1">{#N/A,#N/A,TRUE,"Financials";#N/A,#N/A,TRUE,"Operating Statistics";#N/A,#N/A,TRUE,"Capex &amp; Depreciation";#N/A,#N/A,TRUE,"Debt"}</definedName>
    <definedName name="abc" hidden="1">{#N/A,#N/A,TRUE,"Financials";#N/A,#N/A,TRUE,"Operating Statistics";#N/A,#N/A,TRUE,"Capex &amp; Depreciation";#N/A,#N/A,TRUE,"Debt"}</definedName>
    <definedName name="Ac" localSheetId="4" hidden="1">{#N/A,#N/A,FALSE,"One Pager";#N/A,#N/A,FALSE,"Technical"}</definedName>
    <definedName name="Ac" hidden="1">{#N/A,#N/A,FALSE,"One Pager";#N/A,#N/A,FALSE,"Technical"}</definedName>
    <definedName name="AccessDatabase" hidden="1">"C:\data\excel\temp.mdb"</definedName>
    <definedName name="adsf" localSheetId="4" hidden="1">{"sheet a",#N/A,FALSE,"A";"2 9 casflow",#N/A,FALSE,"B"}</definedName>
    <definedName name="adsf" hidden="1">{"sheet a",#N/A,FALSE,"A";"2 9 casflow",#N/A,FALSE,"B"}</definedName>
    <definedName name="anscount" hidden="1">1</definedName>
    <definedName name="AQWE" localSheetId="4" hidden="1">{#N/A,#N/A,FALSE,"mpph1";#N/A,#N/A,FALSE,"mpmseb";#N/A,#N/A,FALSE,"mpph2"}</definedName>
    <definedName name="AQWE" hidden="1">{#N/A,#N/A,FALSE,"mpph1";#N/A,#N/A,FALSE,"mpmseb";#N/A,#N/A,FALSE,"mpph2"}</definedName>
    <definedName name="asdfsdfsdf" localSheetId="4" hidden="1">{#N/A,#N/A,FALSE,"Expense Comparison"}</definedName>
    <definedName name="asdfsdfsdf" hidden="1">{#N/A,#N/A,FALSE,"Expense Comparison"}</definedName>
    <definedName name="assetfull_4">#REF!</definedName>
    <definedName name="assetfull_5">#REF!</definedName>
    <definedName name="assetfull_6">#REF!</definedName>
    <definedName name="assetfull_7">#REF!</definedName>
    <definedName name="assetfull_8">#REF!</definedName>
    <definedName name="ASSETS1_4">#REF!</definedName>
    <definedName name="ASSETS1_5">#REF!</definedName>
    <definedName name="ASSETS1_6">#REF!</definedName>
    <definedName name="ASSETS1_7">#REF!</definedName>
    <definedName name="ASSETS1_8">#REF!</definedName>
    <definedName name="ASST2_4">#REF!</definedName>
    <definedName name="ASST2_5">#REF!</definedName>
    <definedName name="ASST2_6">#REF!</definedName>
    <definedName name="ASST2_7">#REF!</definedName>
    <definedName name="ASST2_8">#REF!</definedName>
    <definedName name="BADWE" localSheetId="4" hidden="1">{#N/A,#N/A,FALSE,"mpph1";#N/A,#N/A,FALSE,"mpmseb";#N/A,#N/A,FALSE,"mpph2"}</definedName>
    <definedName name="BADWE" hidden="1">{#N/A,#N/A,FALSE,"mpph1";#N/A,#N/A,FALSE,"mpmseb";#N/A,#N/A,FALSE,"mpph2"}</definedName>
    <definedName name="bc" localSheetId="4" hidden="1">{#N/A,#N/A,FALSE,"One Pager";#N/A,#N/A,FALSE,"Technical"}</definedName>
    <definedName name="bc" hidden="1">{#N/A,#N/A,FALSE,"One Pager";#N/A,#N/A,FALSE,"Technical"}</definedName>
    <definedName name="beattle" localSheetId="4" hidden="1">{"Full Sheet",#N/A,FALSE,"Expense Comparison"}</definedName>
    <definedName name="beattle" hidden="1">{"Full Sheet",#N/A,FALSE,"Expense Comparison"}</definedName>
    <definedName name="BEP_4">#REF!</definedName>
    <definedName name="BEP_5">#REF!</definedName>
    <definedName name="BEP_6">#REF!</definedName>
    <definedName name="BEP_7">#REF!</definedName>
    <definedName name="BEP_8">#REF!</definedName>
    <definedName name="bijalpur2" localSheetId="4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bijalpur2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BROWN" localSheetId="4" hidden="1">{"SUMMARY",#N/A,TRUE,"RIGGIN INCR";"SUMMARY",#N/A,TRUE,"DEAN";"SUMMARY",#N/A,TRUE,"GAWRYS";"SUMMARY",#N/A,TRUE,"RUSSO GBVS";"SUMMARY",#N/A,TRUE,"RUSSO WW";"SUMMARY",#N/A,TRUE,"RUSSO TOTAL ";"SUMMARY",#N/A,TRUE,"BOUCHARD";"SUMMARY",#N/A,TRUE,"ZECCA";"SUMMARY",#N/A,TRUE,"RIGGIN TOTAL";"SUMMARY",#N/A,TRUE,"REGLI INCR";"SUMMARY",#N/A,TRUE,"SUSKI";"SUMMARY",#N/A,TRUE,"JOHNSON";"SUMMARY",#N/A,TRUE,"CONN";"SUMMARY",#N/A,TRUE,"REGLI TOTAL";"SUMMARY",#N/A,TRUE,"BROWN";"SUMMARY",#N/A,TRUE,"DENIGRIS INC";"SUMMARY",#N/A,TRUE,"DeNIGRIS TOTAL";"IS",#N/A,TRUE,"INC ST"}</definedName>
    <definedName name="BROWN" hidden="1">{"SUMMARY",#N/A,TRUE,"RIGGIN INCR";"SUMMARY",#N/A,TRUE,"DEAN";"SUMMARY",#N/A,TRUE,"GAWRYS";"SUMMARY",#N/A,TRUE,"RUSSO GBVS";"SUMMARY",#N/A,TRUE,"RUSSO WW";"SUMMARY",#N/A,TRUE,"RUSSO TOTAL ";"SUMMARY",#N/A,TRUE,"BOUCHARD";"SUMMARY",#N/A,TRUE,"ZECCA";"SUMMARY",#N/A,TRUE,"RIGGIN TOTAL";"SUMMARY",#N/A,TRUE,"REGLI INCR";"SUMMARY",#N/A,TRUE,"SUSKI";"SUMMARY",#N/A,TRUE,"JOHNSON";"SUMMARY",#N/A,TRUE,"CONN";"SUMMARY",#N/A,TRUE,"REGLI TOTAL";"SUMMARY",#N/A,TRUE,"BROWN";"SUMMARY",#N/A,TRUE,"DENIGRIS INC";"SUMMARY",#N/A,TRUE,"DeNIGRIS TOTAL";"IS",#N/A,TRUE,"INC ST"}</definedName>
    <definedName name="ccccc" localSheetId="4" hidden="1">{#N/A,#N/A,FALSE,"mpph1";#N/A,#N/A,FALSE,"mpmseb";#N/A,#N/A,FALSE,"mpph2"}</definedName>
    <definedName name="ccccc" hidden="1">{#N/A,#N/A,FALSE,"mpph1";#N/A,#N/A,FALSE,"mpmseb";#N/A,#N/A,FALSE,"mpph2"}</definedName>
    <definedName name="Cha" localSheetId="4" hidden="1">{#N/A,#N/A,FALSE,"gc (2)"}</definedName>
    <definedName name="Cha" hidden="1">{#N/A,#N/A,FALSE,"gc (2)"}</definedName>
    <definedName name="checkpoints">#REF!</definedName>
    <definedName name="com" localSheetId="4" hidden="1">{#N/A,#N/A,FALSE,"mpph1";#N/A,#N/A,FALSE,"mpmseb";#N/A,#N/A,FALSE,"mpph2"}</definedName>
    <definedName name="com" hidden="1">{#N/A,#N/A,FALSE,"mpph1";#N/A,#N/A,FALSE,"mpmseb";#N/A,#N/A,FALSE,"mpph2"}</definedName>
    <definedName name="COMPARISON" localSheetId="4" hidden="1">{#N/A,#N/A,FALSE,"mpph1";#N/A,#N/A,FALSE,"mpmseb";#N/A,#N/A,FALSE,"mpph2"}</definedName>
    <definedName name="COMPARISON" hidden="1">{#N/A,#N/A,FALSE,"mpph1";#N/A,#N/A,FALSE,"mpmseb";#N/A,#N/A,FALSE,"mpph2"}</definedName>
    <definedName name="copy" localSheetId="4" hidden="1">{"sheet a",#N/A,FALSE,"A";"2 9 casflow",#N/A,FALSE,"B"}</definedName>
    <definedName name="copy" hidden="1">{"sheet a",#N/A,FALSE,"A";"2 9 casflow",#N/A,FALSE,"B"}</definedName>
    <definedName name="copy2" localSheetId="4" hidden="1">{"new",#N/A,FALSE,"D";"PROFORMA",#N/A,FALSE,"A";"partial 1",#N/A,FALSE,"B";"partial 2",#N/A,FALSE,"B";"partial 3",#N/A,FALSE,"B";"SMALL CF 1",#N/A,FALSE,"C"}</definedName>
    <definedName name="copy2" hidden="1">{"new",#N/A,FALSE,"D";"PROFORMA",#N/A,FALSE,"A";"partial 1",#N/A,FALSE,"B";"partial 2",#N/A,FALSE,"B";"partial 3",#N/A,FALSE,"B";"SMALL CF 1",#N/A,FALSE,"C"}</definedName>
    <definedName name="Data.Dump" hidden="1">OFFSET(#REF!,1,0)</definedName>
    <definedName name="DATA_08" hidden="1">#REF!</definedName>
    <definedName name="Database.File" hidden="1">#REF!</definedName>
    <definedName name="dd" localSheetId="4" hidden="1">{#N/A,"Good",TRUE,"Sheet1";#N/A,"Normal",TRUE,"Sheet1";#N/A,"Bad",TRUE,"Sheet1"}</definedName>
    <definedName name="dd" hidden="1">{#N/A,"Good",TRUE,"Sheet1";#N/A,"Normal",TRUE,"Sheet1";#N/A,"Bad",TRUE,"Sheet1"}</definedName>
    <definedName name="deleteme" localSheetId="4" hidden="1">{"schedule",#N/A,FALSE,"Sum Op's";"input area",#N/A,FALSE,"Sum Op's"}</definedName>
    <definedName name="deleteme" hidden="1">{"schedule",#N/A,FALSE,"Sum Op's";"input area",#N/A,FALSE,"Sum Op's"}</definedName>
    <definedName name="deleteme1" localSheetId="4" hidden="1">{"schedule",#N/A,FALSE,"Sum Op's";"input area",#N/A,FALSE,"Sum Op's"}</definedName>
    <definedName name="deleteme1" hidden="1">{"schedule",#N/A,FALSE,"Sum Op's";"input area",#N/A,FALSE,"Sum Op's"}</definedName>
    <definedName name="dfg" localSheetId="4" hidden="1">{#N/A,#N/A,FALSE,"gc (2)"}</definedName>
    <definedName name="dfg" hidden="1">{#N/A,#N/A,FALSE,"gc (2)"}</definedName>
    <definedName name="dfgg" localSheetId="4" hidden="1">{#N/A,#N/A,FALSE,"gc (2)"}</definedName>
    <definedName name="dfgg" hidden="1">{#N/A,#N/A,FALSE,"gc (2)"}</definedName>
    <definedName name="DSCR">#REF!</definedName>
    <definedName name="DSCR_4">#REF!</definedName>
    <definedName name="DSCR_5">#REF!</definedName>
    <definedName name="DSCR_6">#REF!</definedName>
    <definedName name="DSCR_7">#REF!</definedName>
    <definedName name="DSCR_8">#REF!</definedName>
    <definedName name="ELECTRICAL" localSheetId="4" hidden="1">{#N/A,#N/A,FALSE,"mpph1";#N/A,#N/A,FALSE,"mpmseb";#N/A,#N/A,FALSE,"mpph2"}</definedName>
    <definedName name="ELECTRICAL" hidden="1">{#N/A,#N/A,FALSE,"mpph1";#N/A,#N/A,FALSE,"mpmseb";#N/A,#N/A,FALSE,"mpph2"}</definedName>
    <definedName name="ere" localSheetId="4" hidden="1">{"sheet a",#N/A,FALSE,"A";"2 9 casflow",#N/A,FALSE,"B"}</definedName>
    <definedName name="ere" hidden="1">{"sheet a",#N/A,FALSE,"A";"2 9 casflow",#N/A,FALSE,"B"}</definedName>
    <definedName name="ert5t6" localSheetId="4" hidden="1">{"Detail Project Cash Flow",#N/A,TRUE,"Cash Flow Grid";"Financing Calculation",#N/A,TRUE,"Cash Flow Grid"}</definedName>
    <definedName name="ert5t6" hidden="1">{"Detail Project Cash Flow",#N/A,TRUE,"Cash Flow Grid";"Financing Calculation",#N/A,TRUE,"Cash Flow Grid"}</definedName>
    <definedName name="erw" localSheetId="4" hidden="1">{"Detail Project Cash Flow",#N/A,TRUE,"Cash Flow Grid";"Financing Calculation",#N/A,TRUE,"Cash Flow Grid"}</definedName>
    <definedName name="erw" hidden="1">{"Detail Project Cash Flow",#N/A,TRUE,"Cash Flow Grid";"Financing Calculation",#N/A,TRUE,"Cash Flow Grid"}</definedName>
    <definedName name="FC" localSheetId="4" hidden="1">{#N/A,#N/A,FALSE,"gc (2)"}</definedName>
    <definedName name="FC" hidden="1">{#N/A,#N/A,FALSE,"gc (2)"}</definedName>
    <definedName name="fdf" localSheetId="4" hidden="1">{"Full Sheet",#N/A,FALSE,"Expense Comparison"}</definedName>
    <definedName name="fdf" hidden="1">{"Full Sheet",#N/A,FALSE,"Expense Comparison"}</definedName>
    <definedName name="ff" localSheetId="4" hidden="1">{#N/A,#N/A,FALSE,"gc (2)"}</definedName>
    <definedName name="ff" hidden="1">{#N/A,#N/A,FALSE,"gc (2)"}</definedName>
    <definedName name="fgh" localSheetId="4" hidden="1">{"office ltcg",#N/A,FALSE,"gain01";"IT LTCG",#N/A,FALSE,"gain01"}</definedName>
    <definedName name="fgh" hidden="1">{"office ltcg",#N/A,FALSE,"gain01";"IT LTCG",#N/A,FALSE,"gain01"}</definedName>
    <definedName name="fil" hidden="1">#REF!</definedName>
    <definedName name="File.Type" hidden="1">#REF!</definedName>
    <definedName name="fill" hidden="1">#REF!</definedName>
    <definedName name="fill." hidden="1">#REF!</definedName>
    <definedName name="FUNDFLOW">#REF!</definedName>
    <definedName name="FUNDFLOW_4">#REF!</definedName>
    <definedName name="FUNDFLOW_5">#REF!</definedName>
    <definedName name="FUNDFLOW_6">#REF!</definedName>
    <definedName name="FUNDFLOW_7">#REF!</definedName>
    <definedName name="FUNDFLOW_8">#REF!</definedName>
    <definedName name="ghj" localSheetId="4" hidden="1">{#N/A,#N/A,FALSE,"gc (2)"}</definedName>
    <definedName name="ghj" hidden="1">{#N/A,#N/A,FALSE,"gc (2)"}</definedName>
    <definedName name="gupta" localSheetId="4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gupta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HTML_CodePage" hidden="1">1252</definedName>
    <definedName name="HTML_Control" localSheetId="4" hidden="1">{"'Proforma'!$A$1:$J$189"}</definedName>
    <definedName name="HTML_Control" hidden="1">{"'Proforma'!$A$1:$J$189"}</definedName>
    <definedName name="HTML_Description" hidden="1">""</definedName>
    <definedName name="HTML_Email" hidden="1">""</definedName>
    <definedName name="HTML_Header" hidden="1">"Proforma"</definedName>
    <definedName name="HTML_LastUpdate" hidden="1">"4/19/99"</definedName>
    <definedName name="HTML_LineAfter" hidden="1">FALSE</definedName>
    <definedName name="HTML_LineBefore" hidden="1">FALSE</definedName>
    <definedName name="HTML_Name" hidden="1">"Frank Vickers"</definedName>
    <definedName name="HTML_OBDlg2" hidden="1">TRUE</definedName>
    <definedName name="HTML_OBDlg4" hidden="1">TRUE</definedName>
    <definedName name="HTML_OS" hidden="1">0</definedName>
    <definedName name="HTML_PathFile" hidden="1">"D:\analysis\MyHTML.htm"</definedName>
    <definedName name="HTML_Title" hidden="1">"proforma3"</definedName>
    <definedName name="idiot" localSheetId="4" hidden="1">{"dep. full detail",#N/A,FALSE,"annex";"3cd annex",#N/A,FALSE,"annex";"co. dep.",#N/A,FALSE,"annex"}</definedName>
    <definedName name="idiot" hidden="1">{"dep. full detail",#N/A,FALSE,"annex";"3cd annex",#N/A,FALSE,"annex";"co. dep.",#N/A,FALSE,"annex"}</definedName>
    <definedName name="In" localSheetId="4" hidden="1">{#N/A,#N/A,FALSE,"gc (2)"}</definedName>
    <definedName name="In" hidden="1">{#N/A,#N/A,FALSE,"gc (2)"}</definedName>
    <definedName name="Incurr" localSheetId="4" hidden="1">{#N/A,#N/A,FALSE,"gc (2)"}</definedName>
    <definedName name="Incurr" hidden="1">{#N/A,#N/A,FALSE,"gc (2)"}</definedName>
    <definedName name="IntroPrintArea" hidden="1">#REF!</definedName>
    <definedName name="IQ_ACCOUNT_CHANGE" hidden="1">"c1449"</definedName>
    <definedName name="IQ_ACCOUNTS_PAY" hidden="1">"c1343"</definedName>
    <definedName name="IQ_ACCR_INT_PAY" hidden="1">"c1"</definedName>
    <definedName name="IQ_ACCR_INT_PAY_CF" hidden="1">"c2"</definedName>
    <definedName name="IQ_ACCR_INT_RECEIV" hidden="1">"c3"</definedName>
    <definedName name="IQ_ACCR_INT_RECEIV_CF" hidden="1">"c4"</definedName>
    <definedName name="IQ_ACCRUED_EXP" hidden="1">"c1341"</definedName>
    <definedName name="IQ_ACCT_RECV_10YR_ANN_GROWTH" hidden="1">"c1924"</definedName>
    <definedName name="IQ_ACCT_RECV_1YR_ANN_GROWTH" hidden="1">"c1919"</definedName>
    <definedName name="IQ_ACCT_RECV_2YR_ANN_GROWTH" hidden="1">"c1920"</definedName>
    <definedName name="IQ_ACCT_RECV_3YR_ANN_GROWTH" hidden="1">"c1921"</definedName>
    <definedName name="IQ_ACCT_RECV_5YR_ANN_GROWTH" hidden="1">"c1922"</definedName>
    <definedName name="IQ_ACCT_RECV_7YR_ANN_GROWTH" hidden="1">"c1923"</definedName>
    <definedName name="IQ_ACCUM_DEP" hidden="1">"c1340"</definedName>
    <definedName name="IQ_ACCUMULATED_PENSION_OBLIGATION" hidden="1">"c2244"</definedName>
    <definedName name="IQ_ACCUMULATED_PENSION_OBLIGATION_DOMESTIC" hidden="1">"c2657"</definedName>
    <definedName name="IQ_ACCUMULATED_PENSION_OBLIGATION_FOREIGN" hidden="1">"c2665"</definedName>
    <definedName name="IQ_ACQ_COST_SUB" hidden="1">"c2125"</definedName>
    <definedName name="IQ_ACQ_COSTS_CAPITALIZED" hidden="1">"c5"</definedName>
    <definedName name="IQ_ACQUIRE_REAL_ESTATE_CF" hidden="1">"c6"</definedName>
    <definedName name="IQ_ACQUISITION_RE_ASSETS" hidden="1">"c1628"</definedName>
    <definedName name="IQ_AD" hidden="1">"c7"</definedName>
    <definedName name="IQ_ADD_PAID_IN" hidden="1">"c1344"</definedName>
    <definedName name="IQ_ADJ_AVG_BANK_ASSETS" hidden="1">"c2671"</definedName>
    <definedName name="IQ_ADMIN_RATIO" hidden="1">"c2784"</definedName>
    <definedName name="IQ_ADVERTISING" hidden="1">"c2246"</definedName>
    <definedName name="IQ_ADVERTISING_MARKETING" hidden="1">"c1566"</definedName>
    <definedName name="IQ_AE" hidden="1">"c8"</definedName>
    <definedName name="IQ_AE_BNK" hidden="1">"c9"</definedName>
    <definedName name="IQ_AE_BR" hidden="1">"c10"</definedName>
    <definedName name="IQ_AE_FIN" hidden="1">"c11"</definedName>
    <definedName name="IQ_AE_INS" hidden="1">"c12"</definedName>
    <definedName name="IQ_AE_REIT" hidden="1">"c13"</definedName>
    <definedName name="IQ_AE_UTI" hidden="1">"c14"</definedName>
    <definedName name="IQ_AH_EARNED" hidden="1">"c2744"</definedName>
    <definedName name="IQ_AH_POLICY_BENEFITS_EXP" hidden="1">"c2789"</definedName>
    <definedName name="IQ_AIR_AIRPLANES_NOT_IN_SERVICE" hidden="1">"c2842"</definedName>
    <definedName name="IQ_AIR_AIRPLANES_SUBLEASED" hidden="1">"c2841"</definedName>
    <definedName name="IQ_AIR_ASK" hidden="1">"c2813"</definedName>
    <definedName name="IQ_AIR_ASK_INCREASE" hidden="1">"c2826"</definedName>
    <definedName name="IQ_AIR_ASM" hidden="1">"c2812"</definedName>
    <definedName name="IQ_AIR_ASM_INCREASE" hidden="1">"c2825"</definedName>
    <definedName name="IQ_AIR_AVG_AGE" hidden="1">"c2843"</definedName>
    <definedName name="IQ_AIR_BREAK_EVEN_FACTOR" hidden="1">"c2822"</definedName>
    <definedName name="IQ_AIR_CAPITAL_LEASE" hidden="1">"c2833"</definedName>
    <definedName name="IQ_AIR_COMPLETION_FACTOR" hidden="1">"c2824"</definedName>
    <definedName name="IQ_AIR_ENPLANED_PSGRS" hidden="1">"c2809"</definedName>
    <definedName name="IQ_AIR_FUEL_CONSUMED" hidden="1">"c2806"</definedName>
    <definedName name="IQ_AIR_FUEL_CONSUMED_L" hidden="1">"c2807"</definedName>
    <definedName name="IQ_AIR_FUEL_COST" hidden="1">"c2803"</definedName>
    <definedName name="IQ_AIR_FUEL_COST_L" hidden="1">"c2804"</definedName>
    <definedName name="IQ_AIR_FUEL_EXP" hidden="1">"c2802"</definedName>
    <definedName name="IQ_AIR_FUEL_EXP_PERCENT" hidden="1">"c2805"</definedName>
    <definedName name="IQ_AIR_LEASED" hidden="1">"c2835"</definedName>
    <definedName name="IQ_AIR_LOAD_FACTOR" hidden="1">"c2823"</definedName>
    <definedName name="IQ_AIR_NEW_AIRPLANES" hidden="1">"c2839"</definedName>
    <definedName name="IQ_AIR_OPER_EXP_ASK" hidden="1">"c2821"</definedName>
    <definedName name="IQ_AIR_OPER_EXP_ASM" hidden="1">"c2820"</definedName>
    <definedName name="IQ_AIR_OPER_LEASE" hidden="1">"c2834"</definedName>
    <definedName name="IQ_AIR_OPER_REV_YIELD_ASK" hidden="1">"c2819"</definedName>
    <definedName name="IQ_AIR_OPER_REV_YIELD_ASM" hidden="1">"c2818"</definedName>
    <definedName name="IQ_AIR_OPTIONS" hidden="1">"c2837"</definedName>
    <definedName name="IQ_AIR_ORDERS" hidden="1">"c2836"</definedName>
    <definedName name="IQ_AIR_OWNED" hidden="1">"c2832"</definedName>
    <definedName name="IQ_AIR_PSGR_REV_YIELD_ASK" hidden="1">"c2817"</definedName>
    <definedName name="IQ_AIR_PSGR_REV_YIELD_ASM" hidden="1">"c2816"</definedName>
    <definedName name="IQ_AIR_PSGR_REV_YIELD_RPK" hidden="1">"c2815"</definedName>
    <definedName name="IQ_AIR_PSGR_REV_YIELD_RPM" hidden="1">"c2814"</definedName>
    <definedName name="IQ_AIR_PURCHASE_RIGHTS" hidden="1">"c2838"</definedName>
    <definedName name="IQ_AIR_RETIRED_AIRPLANES" hidden="1">"c2840"</definedName>
    <definedName name="IQ_AIR_REV_PSGRS_CARRIED" hidden="1">"c2808"</definedName>
    <definedName name="IQ_AIR_REV_SCHEDULED_SERVICE" hidden="1">"c2830"</definedName>
    <definedName name="IQ_AIR_RPK" hidden="1">"c2811"</definedName>
    <definedName name="IQ_AIR_RPM" hidden="1">"c2810"</definedName>
    <definedName name="IQ_AIR_STAGE_LENGTH" hidden="1">"c2828"</definedName>
    <definedName name="IQ_AIR_STAGE_LENGTH_KM" hidden="1">"c2829"</definedName>
    <definedName name="IQ_AIR_TOTAL" hidden="1">"c2831"</definedName>
    <definedName name="IQ_AIR_UTILIZATION" hidden="1">"c2827"</definedName>
    <definedName name="IQ_ALLOW_BORROW_CONST" hidden="1">"c15"</definedName>
    <definedName name="IQ_ALLOW_CONST" hidden="1">"c1342"</definedName>
    <definedName name="IQ_ALLOW_DOUBT_ACCT" hidden="1">"c2092"</definedName>
    <definedName name="IQ_ALLOW_EQUITY_CONST" hidden="1">"c16"</definedName>
    <definedName name="IQ_ALLOW_LL" hidden="1">"c17"</definedName>
    <definedName name="IQ_ALLOWANCE_10YR_ANN_GROWTH" hidden="1">"c18"</definedName>
    <definedName name="IQ_ALLOWANCE_1YR_ANN_GROWTH" hidden="1">"c19"</definedName>
    <definedName name="IQ_ALLOWANCE_2YR_ANN_GROWTH" hidden="1">"c20"</definedName>
    <definedName name="IQ_ALLOWANCE_3YR_ANN_GROWTH" hidden="1">"c21"</definedName>
    <definedName name="IQ_ALLOWANCE_5YR_ANN_GROWTH" hidden="1">"c22"</definedName>
    <definedName name="IQ_ALLOWANCE_7YR_ANN_GROWTH" hidden="1">"c23"</definedName>
    <definedName name="IQ_ALLOWANCE_CHARGE_OFFS" hidden="1">"c24"</definedName>
    <definedName name="IQ_ALLOWANCE_NON_PERF_LOANS" hidden="1">"c25"</definedName>
    <definedName name="IQ_ALLOWANCE_TOTAL_LOANS" hidden="1">"c26"</definedName>
    <definedName name="IQ_AMORTIZATION" hidden="1">"c1591"</definedName>
    <definedName name="IQ_AMT_OUT" hidden="1">"c2145"</definedName>
    <definedName name="IQ_ANNU_DISTRIBUTION_UNIT" hidden="1">"c3004"</definedName>
    <definedName name="IQ_ANNUALIZED_DIVIDEND" hidden="1">"c1579"</definedName>
    <definedName name="IQ_ANNUITY_LIAB" hidden="1">"c27"</definedName>
    <definedName name="IQ_ANNUITY_PAY" hidden="1">"c28"</definedName>
    <definedName name="IQ_ANNUITY_POLICY_EXP" hidden="1">"c29"</definedName>
    <definedName name="IQ_ANNUITY_REC" hidden="1">"c30"</definedName>
    <definedName name="IQ_ANNUITY_REV" hidden="1">"c31"</definedName>
    <definedName name="IQ_AP" hidden="1">"c32"</definedName>
    <definedName name="IQ_AP_BNK" hidden="1">"c33"</definedName>
    <definedName name="IQ_AP_BR" hidden="1">"c34"</definedName>
    <definedName name="IQ_AP_FIN" hidden="1">"c35"</definedName>
    <definedName name="IQ_AP_INS" hidden="1">"c36"</definedName>
    <definedName name="IQ_AP_REIT" hidden="1">"c37"</definedName>
    <definedName name="IQ_AP_UTI" hidden="1">"c38"</definedName>
    <definedName name="IQ_APIC" hidden="1">"c39"</definedName>
    <definedName name="IQ_AR" hidden="1">"c40"</definedName>
    <definedName name="IQ_AR_BR" hidden="1">"c41"</definedName>
    <definedName name="IQ_AR_LT" hidden="1">"c42"</definedName>
    <definedName name="IQ_AR_REIT" hidden="1">"c43"</definedName>
    <definedName name="IQ_AR_TURNS" hidden="1">"c44"</definedName>
    <definedName name="IQ_AR_UTI" hidden="1">"c45"</definedName>
    <definedName name="IQ_ARPU" hidden="1">"c2126"</definedName>
    <definedName name="IQ_ASSET_MGMT_FEE" hidden="1">"c46"</definedName>
    <definedName name="IQ_ASSET_TURNS" hidden="1">"c47"</definedName>
    <definedName name="IQ_ASSET_WRITEDOWN" hidden="1">"c48"</definedName>
    <definedName name="IQ_ASSET_WRITEDOWN_BNK" hidden="1">"c49"</definedName>
    <definedName name="IQ_ASSET_WRITEDOWN_BR" hidden="1">"c50"</definedName>
    <definedName name="IQ_ASSET_WRITEDOWN_CF" hidden="1">"c51"</definedName>
    <definedName name="IQ_ASSET_WRITEDOWN_CF_BNK" hidden="1">"c52"</definedName>
    <definedName name="IQ_ASSET_WRITEDOWN_CF_BR" hidden="1">"c53"</definedName>
    <definedName name="IQ_ASSET_WRITEDOWN_CF_FIN" hidden="1">"c54"</definedName>
    <definedName name="IQ_ASSET_WRITEDOWN_CF_INS" hidden="1">"c55"</definedName>
    <definedName name="IQ_ASSET_WRITEDOWN_CF_REIT" hidden="1">"c56"</definedName>
    <definedName name="IQ_ASSET_WRITEDOWN_CF_UTI" hidden="1">"c57"</definedName>
    <definedName name="IQ_ASSET_WRITEDOWN_FIN" hidden="1">"c58"</definedName>
    <definedName name="IQ_ASSET_WRITEDOWN_INS" hidden="1">"c59"</definedName>
    <definedName name="IQ_ASSET_WRITEDOWN_REIT" hidden="1">"c60"</definedName>
    <definedName name="IQ_ASSET_WRITEDOWN_UTI" hidden="1">"c61"</definedName>
    <definedName name="IQ_ASSETS_CAP_LEASE_DEPR" hidden="1">"c2068"</definedName>
    <definedName name="IQ_ASSETS_CAP_LEASE_GROSS" hidden="1">"c2069"</definedName>
    <definedName name="IQ_ASSETS_OPER_LEASE_DEPR" hidden="1">"c2070"</definedName>
    <definedName name="IQ_ASSETS_OPER_LEASE_GROSS" hidden="1">"c2071"</definedName>
    <definedName name="IQ_ASSUMED_AH_EARNED" hidden="1">"c2741"</definedName>
    <definedName name="IQ_ASSUMED_EARNED" hidden="1">"c2731"</definedName>
    <definedName name="IQ_ASSUMED_LIFE_EARNED" hidden="1">"c2736"</definedName>
    <definedName name="IQ_ASSUMED_LIFE_IN_FORCE" hidden="1">"c2766"</definedName>
    <definedName name="IQ_ASSUMED_PC_EARNED" hidden="1">"c2746"</definedName>
    <definedName name="IQ_ASSUMED_WRITTEN" hidden="1">"c2725"</definedName>
    <definedName name="IQ_AUDITOR_NAME" hidden="1">"c1539"</definedName>
    <definedName name="IQ_AUDITOR_OPINION" hidden="1">"c1540"</definedName>
    <definedName name="IQ_AUTO_WRITTEN" hidden="1">"c62"</definedName>
    <definedName name="IQ_AVG_BANK_ASSETS" hidden="1">"c2072"</definedName>
    <definedName name="IQ_AVG_BANK_LOANS" hidden="1">"c2073"</definedName>
    <definedName name="IQ_AVG_BROKER_REC" hidden="1">"c63"</definedName>
    <definedName name="IQ_AVG_BROKER_REC_NO" hidden="1">"c64"</definedName>
    <definedName name="IQ_AVG_DAILY_VOL" hidden="1">"c65"</definedName>
    <definedName name="IQ_AVG_INT_BEAR_LIAB" hidden="1">"c66"</definedName>
    <definedName name="IQ_AVG_INT_BEAR_LIAB_10YR_ANN_GROWTH" hidden="1">"c67"</definedName>
    <definedName name="IQ_AVG_INT_BEAR_LIAB_1YR_ANN_GROWTH" hidden="1">"c68"</definedName>
    <definedName name="IQ_AVG_INT_BEAR_LIAB_2YR_ANN_GROWTH" hidden="1">"c69"</definedName>
    <definedName name="IQ_AVG_INT_BEAR_LIAB_3YR_ANN_GROWTH" hidden="1">"c70"</definedName>
    <definedName name="IQ_AVG_INT_BEAR_LIAB_5YR_ANN_GROWTH" hidden="1">"c71"</definedName>
    <definedName name="IQ_AVG_INT_BEAR_LIAB_7YR_ANN_GROWTH" hidden="1">"c72"</definedName>
    <definedName name="IQ_AVG_INT_EARN_ASSETS" hidden="1">"c73"</definedName>
    <definedName name="IQ_AVG_INT_EARN_ASSETS_10YR_ANN_GROWTH" hidden="1">"c74"</definedName>
    <definedName name="IQ_AVG_INT_EARN_ASSETS_1YR_ANN_GROWTH" hidden="1">"c75"</definedName>
    <definedName name="IQ_AVG_INT_EARN_ASSETS_2YR_ANN_GROWTH" hidden="1">"c76"</definedName>
    <definedName name="IQ_AVG_INT_EARN_ASSETS_3YR_ANN_GROWTH" hidden="1">"c77"</definedName>
    <definedName name="IQ_AVG_INT_EARN_ASSETS_5YR_ANN_GROWTH" hidden="1">"c78"</definedName>
    <definedName name="IQ_AVG_INT_EARN_ASSETS_7YR_ANN_GROWTH" hidden="1">"c79"</definedName>
    <definedName name="IQ_AVG_MKTCAP" hidden="1">"c80"</definedName>
    <definedName name="IQ_AVG_PRICE" hidden="1">"c81"</definedName>
    <definedName name="IQ_AVG_PRICE_TARGET" hidden="1">"c82"</definedName>
    <definedName name="IQ_AVG_SHAREOUTSTANDING" hidden="1">"c83"</definedName>
    <definedName name="IQ_AVG_TEV" hidden="1">"c84"</definedName>
    <definedName name="IQ_AVG_VOLUME" hidden="1">"c1346"</definedName>
    <definedName name="IQ_BANK_DEBT" hidden="1">"c2544"</definedName>
    <definedName name="IQ_BANK_DEBT_PCT" hidden="1">"c2545"</definedName>
    <definedName name="IQ_BASIC_EPS_EXCL" hidden="1">"c85"</definedName>
    <definedName name="IQ_BASIC_EPS_INCL" hidden="1">"c86"</definedName>
    <definedName name="IQ_BASIC_NORMAL_EPS" hidden="1">"c1592"</definedName>
    <definedName name="IQ_BASIC_WEIGHT" hidden="1">"c87"</definedName>
    <definedName name="IQ_BENCHMARK_SECURITY" hidden="1">"c2154"</definedName>
    <definedName name="IQ_BENCHMARK_SPRD" hidden="1">"c2153"</definedName>
    <definedName name="IQ_BETA" hidden="1">"c2133"</definedName>
    <definedName name="IQ_BETA_1YR" hidden="1">"c1966"</definedName>
    <definedName name="IQ_BETA_1YR_RSQ" hidden="1">"c2132"</definedName>
    <definedName name="IQ_BETA_2YR" hidden="1">"c1965"</definedName>
    <definedName name="IQ_BETA_2YR_RSQ" hidden="1">"c2131"</definedName>
    <definedName name="IQ_BETA_5YR" hidden="1">"c88"</definedName>
    <definedName name="IQ_BETA_5YR_RSQ" hidden="1">"c2130"</definedName>
    <definedName name="IQ_BIG_INT_BEAR_CD" hidden="1">"c89"</definedName>
    <definedName name="IQ_BOARD_MEMBER" hidden="1">"c96"</definedName>
    <definedName name="IQ_BOARD_MEMBER_BACKGROUND" hidden="1">"c2101"</definedName>
    <definedName name="IQ_BOARD_MEMBER_TITLE" hidden="1">"c97"</definedName>
    <definedName name="IQ_BOND_COUPON" hidden="1">"c2183"</definedName>
    <definedName name="IQ_BOND_COUPON_TYPE" hidden="1">"c2184"</definedName>
    <definedName name="IQ_BOND_PRICE" hidden="1">"c2162"</definedName>
    <definedName name="IQ_BROK_COMISSION" hidden="1">"c98"</definedName>
    <definedName name="IQ_BUILDINGS" hidden="1">"c99"</definedName>
    <definedName name="IQ_BUSINESS_DESCRIPTION" hidden="1">"c322"</definedName>
    <definedName name="IQ_BV_OVER_SHARES" hidden="1">"c1349"</definedName>
    <definedName name="IQ_BV_SHARE" hidden="1">"c100"</definedName>
    <definedName name="IQ_CABLE_ARPU" hidden="1">"c2869"</definedName>
    <definedName name="IQ_CABLE_ARPU_ANALOG" hidden="1">"c2864"</definedName>
    <definedName name="IQ_CABLE_ARPU_BASIC" hidden="1">"c2866"</definedName>
    <definedName name="IQ_CABLE_ARPU_BBAND" hidden="1">"c2867"</definedName>
    <definedName name="IQ_CABLE_ARPU_DIG" hidden="1">"c2865"</definedName>
    <definedName name="IQ_CABLE_ARPU_PHONE" hidden="1">"c2868"</definedName>
    <definedName name="IQ_CABLE_BASIC_PENETRATION" hidden="1">"c2850"</definedName>
    <definedName name="IQ_CABLE_BBAND_PENETRATION" hidden="1">"c2852"</definedName>
    <definedName name="IQ_CABLE_BBAND_PENETRATION_THP" hidden="1">"c2851"</definedName>
    <definedName name="IQ_CABLE_CHURN" hidden="1">"c2874"</definedName>
    <definedName name="IQ_CABLE_CHURN_BASIC" hidden="1">"c2871"</definedName>
    <definedName name="IQ_CABLE_CHURN_BBAND" hidden="1">"c2872"</definedName>
    <definedName name="IQ_CABLE_CHURN_DIG" hidden="1">"c2870"</definedName>
    <definedName name="IQ_CABLE_CHURN_PHONE" hidden="1">"c2873"</definedName>
    <definedName name="IQ_CABLE_HOMES_PER_MILE" hidden="1">"c2849"</definedName>
    <definedName name="IQ_CABLE_HP_BBAND" hidden="1">"c2845"</definedName>
    <definedName name="IQ_CABLE_HP_DIG" hidden="1">"c2844"</definedName>
    <definedName name="IQ_CABLE_HP_PHONE" hidden="1">"c2846"</definedName>
    <definedName name="IQ_CABLE_MILES_PASSED" hidden="1">"c2848"</definedName>
    <definedName name="IQ_CABLE_OTHER_REV" hidden="1">"c2882"</definedName>
    <definedName name="IQ_CABLE_PHONE_PENETRATION" hidden="1">"c2853"</definedName>
    <definedName name="IQ_CABLE_PROGRAMMING_COSTS" hidden="1">"c2884"</definedName>
    <definedName name="IQ_CABLE_REV_ADVERT" hidden="1">"c2880"</definedName>
    <definedName name="IQ_CABLE_REV_ANALOG" hidden="1">"c2875"</definedName>
    <definedName name="IQ_CABLE_REV_BASIC" hidden="1">"c2877"</definedName>
    <definedName name="IQ_CABLE_REV_BBAND" hidden="1">"c2878"</definedName>
    <definedName name="IQ_CABLE_REV_COMMERCIAL" hidden="1">"c2881"</definedName>
    <definedName name="IQ_CABLE_REV_DIG" hidden="1">"c2876"</definedName>
    <definedName name="IQ_CABLE_REV_PHONE" hidden="1">"c2879"</definedName>
    <definedName name="IQ_CABLE_RGU" hidden="1">"c2863"</definedName>
    <definedName name="IQ_CABLE_SUBS_ANALOG" hidden="1">"c2855"</definedName>
    <definedName name="IQ_CABLE_SUBS_BASIC" hidden="1">"c2857"</definedName>
    <definedName name="IQ_CABLE_SUBS_BBAND" hidden="1">"c2858"</definedName>
    <definedName name="IQ_CABLE_SUBS_BUNDLED" hidden="1">"c2861"</definedName>
    <definedName name="IQ_CABLE_SUBS_DIG" hidden="1">"c2856"</definedName>
    <definedName name="IQ_CABLE_SUBS_NON_VIDEO" hidden="1">"c2860"</definedName>
    <definedName name="IQ_CABLE_SUBS_PHONE" hidden="1">"c2859"</definedName>
    <definedName name="IQ_CABLE_SUBS_TOTAL" hidden="1">"c2862"</definedName>
    <definedName name="IQ_CABLE_THP" hidden="1">"c2847"</definedName>
    <definedName name="IQ_CABLE_TOTAL_PENETRATION" hidden="1">"c2854"</definedName>
    <definedName name="IQ_CABLE_TOTAL_REV" hidden="1">"c2883"</definedName>
    <definedName name="IQ_CAL_Q" hidden="1">"c101"</definedName>
    <definedName name="IQ_CAL_Y" hidden="1">"c102"</definedName>
    <definedName name="IQ_CALL_DATE_SCHEDULE" hidden="1">"c2481"</definedName>
    <definedName name="IQ_CALL_FEATURE" hidden="1">"c2197"</definedName>
    <definedName name="IQ_CALL_PRICE_SCHEDULE" hidden="1">"c2482"</definedName>
    <definedName name="IQ_CALLABLE" hidden="1">"c2196"</definedName>
    <definedName name="IQ_CAPEX" hidden="1">"c103"</definedName>
    <definedName name="IQ_CAPEX_10YR_ANN_GROWTH" hidden="1">"c104"</definedName>
    <definedName name="IQ_CAPEX_1YR_ANN_GROWTH" hidden="1">"c105"</definedName>
    <definedName name="IQ_CAPEX_2YR_ANN_GROWTH" hidden="1">"c106"</definedName>
    <definedName name="IQ_CAPEX_3YR_ANN_GROWTH" hidden="1">"c107"</definedName>
    <definedName name="IQ_CAPEX_5YR_ANN_GROWTH" hidden="1">"c108"</definedName>
    <definedName name="IQ_CAPEX_7YR_ANN_GROWTH" hidden="1">"c109"</definedName>
    <definedName name="IQ_CAPEX_BNK" hidden="1">"c110"</definedName>
    <definedName name="IQ_CAPEX_BR" hidden="1">"c111"</definedName>
    <definedName name="IQ_CAPEX_FIN" hidden="1">"c112"</definedName>
    <definedName name="IQ_CAPEX_INS" hidden="1">"c113"</definedName>
    <definedName name="IQ_CAPEX_UTI" hidden="1">"c114"</definedName>
    <definedName name="IQ_CAPITAL_LEASE" hidden="1">"c1350"</definedName>
    <definedName name="IQ_CAPITAL_LEASES" hidden="1">"c115"</definedName>
    <definedName name="IQ_CAPITAL_LEASES_TOTAL" hidden="1">"c3031"</definedName>
    <definedName name="IQ_CAPITAL_LEASES_TOTAL_PCT" hidden="1">"c2506"</definedName>
    <definedName name="IQ_CAPITALIZED_INTEREST" hidden="1">"c2076"</definedName>
    <definedName name="IQ_CASH" hidden="1">"c1458"</definedName>
    <definedName name="IQ_CASH_ACQUIRE_CF" hidden="1">"c1630"</definedName>
    <definedName name="IQ_CASH_CONVERSION" hidden="1">"c117"</definedName>
    <definedName name="IQ_CASH_DUE_BANKS" hidden="1">"c1351"</definedName>
    <definedName name="IQ_CASH_EQUIV" hidden="1">"c118"</definedName>
    <definedName name="IQ_CASH_FINAN" hidden="1">"c119"</definedName>
    <definedName name="IQ_CASH_INTEREST" hidden="1">"c120"</definedName>
    <definedName name="IQ_CASH_INVEST" hidden="1">"c121"</definedName>
    <definedName name="IQ_CASH_OPER" hidden="1">"c122"</definedName>
    <definedName name="IQ_CASH_SEGREG" hidden="1">"c123"</definedName>
    <definedName name="IQ_CASH_SHARE" hidden="1">"c1911"</definedName>
    <definedName name="IQ_CASH_ST" hidden="1">"c1355"</definedName>
    <definedName name="IQ_CASH_ST_INVEST" hidden="1">"c124"</definedName>
    <definedName name="IQ_CASH_TAXES" hidden="1">"c125"</definedName>
    <definedName name="IQ_CEDED_AH_EARNED" hidden="1">"c2743"</definedName>
    <definedName name="IQ_CEDED_CLAIM_EXP_INCUR" hidden="1">"c2756"</definedName>
    <definedName name="IQ_CEDED_CLAIM_EXP_PAID" hidden="1">"c2759"</definedName>
    <definedName name="IQ_CEDED_CLAIM_EXP_RES" hidden="1">"c2753"</definedName>
    <definedName name="IQ_CEDED_EARNED" hidden="1">"c2733"</definedName>
    <definedName name="IQ_CEDED_LIFE_EARNED" hidden="1">"c2738"</definedName>
    <definedName name="IQ_CEDED_LIFE_IN_FORCE" hidden="1">"c2768"</definedName>
    <definedName name="IQ_CEDED_PC_EARNED" hidden="1">"c2748"</definedName>
    <definedName name="IQ_CEDED_WRITTEN" hidden="1">"c2727"</definedName>
    <definedName name="IQ_CFO_10YR_ANN_GROWTH" hidden="1">"c126"</definedName>
    <definedName name="IQ_CFO_1YR_ANN_GROWTH" hidden="1">"c127"</definedName>
    <definedName name="IQ_CFO_2YR_ANN_GROWTH" hidden="1">"c128"</definedName>
    <definedName name="IQ_CFO_3YR_ANN_GROWTH" hidden="1">"c129"</definedName>
    <definedName name="IQ_CFO_5YR_ANN_GROWTH" hidden="1">"c130"</definedName>
    <definedName name="IQ_CFO_7YR_ANN_GROWTH" hidden="1">"c131"</definedName>
    <definedName name="IQ_CFO_CURRENT_LIAB" hidden="1">"c132"</definedName>
    <definedName name="IQ_CFPS_ACT_OR_EST" hidden="1">"c2217"</definedName>
    <definedName name="IQ_CFPS_EST" hidden="1">"c1667"</definedName>
    <definedName name="IQ_CFPS_HIGH_EST" hidden="1">"c1669"</definedName>
    <definedName name="IQ_CFPS_LOW_EST" hidden="1">"c1670"</definedName>
    <definedName name="IQ_CFPS_MEDIAN_EST" hidden="1">"c1668"</definedName>
    <definedName name="IQ_CFPS_NUM_EST" hidden="1">"c1671"</definedName>
    <definedName name="IQ_CFPS_STDDEV_EST" hidden="1">"c1672"</definedName>
    <definedName name="IQ_CHANGE_AP" hidden="1">"c133"</definedName>
    <definedName name="IQ_CHANGE_AP_BNK" hidden="1">"c134"</definedName>
    <definedName name="IQ_CHANGE_AP_BR" hidden="1">"c135"</definedName>
    <definedName name="IQ_CHANGE_AP_FIN" hidden="1">"c136"</definedName>
    <definedName name="IQ_CHANGE_AP_INS" hidden="1">"c137"</definedName>
    <definedName name="IQ_CHANGE_AP_REIT" hidden="1">"c138"</definedName>
    <definedName name="IQ_CHANGE_AP_UTI" hidden="1">"c139"</definedName>
    <definedName name="IQ_CHANGE_AR" hidden="1">"c140"</definedName>
    <definedName name="IQ_CHANGE_AR_BNK" hidden="1">"c141"</definedName>
    <definedName name="IQ_CHANGE_AR_BR" hidden="1">"c142"</definedName>
    <definedName name="IQ_CHANGE_AR_FIN" hidden="1">"c143"</definedName>
    <definedName name="IQ_CHANGE_AR_INS" hidden="1">"c144"</definedName>
    <definedName name="IQ_CHANGE_AR_REIT" hidden="1">"c145"</definedName>
    <definedName name="IQ_CHANGE_AR_UTI" hidden="1">"c146"</definedName>
    <definedName name="IQ_CHANGE_DEF_TAX" hidden="1">"c147"</definedName>
    <definedName name="IQ_CHANGE_DEPOSIT_ACCT" hidden="1">"c148"</definedName>
    <definedName name="IQ_CHANGE_INC_TAX" hidden="1">"c149"</definedName>
    <definedName name="IQ_CHANGE_INS_RES_LIAB" hidden="1">"c150"</definedName>
    <definedName name="IQ_CHANGE_INVENTORY" hidden="1">"c151"</definedName>
    <definedName name="IQ_CHANGE_NET_WORKING_CAPITAL" hidden="1">"c1909"</definedName>
    <definedName name="IQ_CHANGE_OTHER_WORK_CAP" hidden="1">"c152"</definedName>
    <definedName name="IQ_CHANGE_OTHER_WORK_CAP_BNK" hidden="1">"c153"</definedName>
    <definedName name="IQ_CHANGE_OTHER_WORK_CAP_BR" hidden="1">"c154"</definedName>
    <definedName name="IQ_CHANGE_OTHER_WORK_CAP_FIN" hidden="1">"c155"</definedName>
    <definedName name="IQ_CHANGE_OTHER_WORK_CAP_INS" hidden="1">"c156"</definedName>
    <definedName name="IQ_CHANGE_OTHER_WORK_CAP_REIT" hidden="1">"c157"</definedName>
    <definedName name="IQ_CHANGE_OTHER_WORK_CAP_UTI" hidden="1">"c158"</definedName>
    <definedName name="IQ_CHANGE_TRADING_ASSETS" hidden="1">"c159"</definedName>
    <definedName name="IQ_CHANGE_UNEARN_REV" hidden="1">"c160"</definedName>
    <definedName name="IQ_CHANGE_WORK_CAP" hidden="1">"c161"</definedName>
    <definedName name="IQ_CHANGES_WORK_CAP" hidden="1">"c1357"</definedName>
    <definedName name="IQ_CHARGE_OFFS_GROSS" hidden="1">"c162"</definedName>
    <definedName name="IQ_CHARGE_OFFS_NET" hidden="1">"c163"</definedName>
    <definedName name="IQ_CHARGE_OFFS_RECOVERED" hidden="1">"c164"</definedName>
    <definedName name="IQ_CHARGE_OFFS_TOTAL_AVG_LOANS" hidden="1">"c165"</definedName>
    <definedName name="IQ_CITY" hidden="1">"c166"</definedName>
    <definedName name="IQ_CL_DUE_AFTER_FIVE" hidden="1">"c167"</definedName>
    <definedName name="IQ_CL_DUE_CY" hidden="1">"c168"</definedName>
    <definedName name="IQ_CL_DUE_CY1" hidden="1">"c169"</definedName>
    <definedName name="IQ_CL_DUE_CY2" hidden="1">"c170"</definedName>
    <definedName name="IQ_CL_DUE_CY3" hidden="1">"c171"</definedName>
    <definedName name="IQ_CL_DUE_CY4" hidden="1">"c172"</definedName>
    <definedName name="IQ_CL_DUE_NEXT_FIVE" hidden="1">"c173"</definedName>
    <definedName name="IQ_CL_OBLIGATION_IMMEDIATE" hidden="1">"c2253"</definedName>
    <definedName name="IQ_CLASSA_OPTIONS_BEG_OS" hidden="1">"c2679"</definedName>
    <definedName name="IQ_CLASSA_OPTIONS_CANCELLED" hidden="1">"c2682"</definedName>
    <definedName name="IQ_CLASSA_OPTIONS_END_OS" hidden="1">"c2683"</definedName>
    <definedName name="IQ_CLASSA_OPTIONS_EXERCISED" hidden="1">"c2681"</definedName>
    <definedName name="IQ_CLASSA_OPTIONS_GRANTED" hidden="1">"c2680"</definedName>
    <definedName name="IQ_CLASSA_OPTIONS_STRIKE_PRICE_OS" hidden="1">"c2684"</definedName>
    <definedName name="IQ_CLASSA_OUTSTANDING_BS_DATE" hidden="1">"c1971"</definedName>
    <definedName name="IQ_CLASSA_OUTSTANDING_FILING_DATE" hidden="1">"c1973"</definedName>
    <definedName name="IQ_CLASSA_STRIKE_PRICE_GRANTED" hidden="1">"c2685"</definedName>
    <definedName name="IQ_CLASSA_WARRANTS_BEG_OS" hidden="1">"c2705"</definedName>
    <definedName name="IQ_CLASSA_WARRANTS_CANCELLED" hidden="1">"c2708"</definedName>
    <definedName name="IQ_CLASSA_WARRANTS_END_OS" hidden="1">"c2709"</definedName>
    <definedName name="IQ_CLASSA_WARRANTS_EXERCISED" hidden="1">"c2707"</definedName>
    <definedName name="IQ_CLASSA_WARRANTS_ISSUED" hidden="1">"c2706"</definedName>
    <definedName name="IQ_CLASSA_WARRANTS_STRIKE_PRICE_ISSUED" hidden="1">"c2711"</definedName>
    <definedName name="IQ_CLASSA_WARRANTS_STRIKE_PRICE_OS" hidden="1">"c2710"</definedName>
    <definedName name="IQ_CLOSEPRICE" hidden="1">"c174"</definedName>
    <definedName name="IQ_CLOSEPRICE_ADJ" hidden="1">"c2115"</definedName>
    <definedName name="IQ_COGS" hidden="1">"c175"</definedName>
    <definedName name="IQ_COMBINED_RATIO" hidden="1">"c176"</definedName>
    <definedName name="IQ_COMMERCIAL_DOM" hidden="1">"c177"</definedName>
    <definedName name="IQ_COMMERCIAL_FIRE_WRITTEN" hidden="1">"c178"</definedName>
    <definedName name="IQ_COMMERCIAL_MORT" hidden="1">"c179"</definedName>
    <definedName name="IQ_COMMISS_FEES" hidden="1">"c180"</definedName>
    <definedName name="IQ_COMMISSION_DEF" hidden="1">"c181"</definedName>
    <definedName name="IQ_COMMON" hidden="1">"c182"</definedName>
    <definedName name="IQ_COMMON_APIC" hidden="1">"c183"</definedName>
    <definedName name="IQ_COMMON_APIC_BNK" hidden="1">"c184"</definedName>
    <definedName name="IQ_COMMON_APIC_BR" hidden="1">"c185"</definedName>
    <definedName name="IQ_COMMON_APIC_FIN" hidden="1">"c186"</definedName>
    <definedName name="IQ_COMMON_APIC_INS" hidden="1">"c187"</definedName>
    <definedName name="IQ_COMMON_APIC_REIT" hidden="1">"c188"</definedName>
    <definedName name="IQ_COMMON_APIC_UTI" hidden="1">"c189"</definedName>
    <definedName name="IQ_COMMON_DIV" hidden="1">"c3006"</definedName>
    <definedName name="IQ_COMMON_DIV_CF" hidden="1">"c190"</definedName>
    <definedName name="IQ_COMMON_EQUITY_10YR_ANN_GROWTH" hidden="1">"c191"</definedName>
    <definedName name="IQ_COMMON_EQUITY_1YR_ANN_GROWTH" hidden="1">"c192"</definedName>
    <definedName name="IQ_COMMON_EQUITY_2YR_ANN_GROWTH" hidden="1">"c193"</definedName>
    <definedName name="IQ_COMMON_EQUITY_3YR_ANN_GROWTH" hidden="1">"c194"</definedName>
    <definedName name="IQ_COMMON_EQUITY_5YR_ANN_GROWTH" hidden="1">"c195"</definedName>
    <definedName name="IQ_COMMON_EQUITY_7YR_ANN_GROWTH" hidden="1">"c196"</definedName>
    <definedName name="IQ_COMMON_ISSUED" hidden="1">"c197"</definedName>
    <definedName name="IQ_COMMON_ISSUED_BNK" hidden="1">"c198"</definedName>
    <definedName name="IQ_COMMON_ISSUED_BR" hidden="1">"c199"</definedName>
    <definedName name="IQ_COMMON_ISSUED_FIN" hidden="1">"c200"</definedName>
    <definedName name="IQ_COMMON_ISSUED_INS" hidden="1">"c201"</definedName>
    <definedName name="IQ_COMMON_ISSUED_REIT" hidden="1">"c202"</definedName>
    <definedName name="IQ_COMMON_ISSUED_UTI" hidden="1">"c203"</definedName>
    <definedName name="IQ_COMMON_PER_ADR" hidden="1">"c204"</definedName>
    <definedName name="IQ_COMMON_PREF_DIV_CF" hidden="1">"c205"</definedName>
    <definedName name="IQ_COMMON_REP" hidden="1">"c206"</definedName>
    <definedName name="IQ_COMMON_REP_BNK" hidden="1">"c207"</definedName>
    <definedName name="IQ_COMMON_REP_BR" hidden="1">"c208"</definedName>
    <definedName name="IQ_COMMON_REP_FIN" hidden="1">"c209"</definedName>
    <definedName name="IQ_COMMON_REP_INS" hidden="1">"c210"</definedName>
    <definedName name="IQ_COMMON_REP_REIT" hidden="1">"c211"</definedName>
    <definedName name="IQ_COMMON_REP_UTI" hidden="1">"c212"</definedName>
    <definedName name="IQ_COMMON_STOCK" hidden="1">"c1358"</definedName>
    <definedName name="IQ_COMP_BENEFITS" hidden="1">"c213"</definedName>
    <definedName name="IQ_COMPANY_ADDRESS" hidden="1">"c214"</definedName>
    <definedName name="IQ_COMPANY_NAME" hidden="1">"c215"</definedName>
    <definedName name="IQ_COMPANY_NAME_LONG" hidden="1">"c1585"</definedName>
    <definedName name="IQ_COMPANY_PHONE" hidden="1">"c216"</definedName>
    <definedName name="IQ_COMPANY_STATUS" hidden="1">"c2097"</definedName>
    <definedName name="IQ_COMPANY_STREET1" hidden="1">"c217"</definedName>
    <definedName name="IQ_COMPANY_STREET2" hidden="1">"c218"</definedName>
    <definedName name="IQ_COMPANY_TICKER" hidden="1">"c219"</definedName>
    <definedName name="IQ_COMPANY_TYPE" hidden="1">"c2096"</definedName>
    <definedName name="IQ_COMPANY_WEBSITE" hidden="1">"c220"</definedName>
    <definedName name="IQ_COMPANY_ZIP" hidden="1">"c221"</definedName>
    <definedName name="IQ_CONSTRUCTION_LOANS" hidden="1">"c222"</definedName>
    <definedName name="IQ_CONSUMER_LOANS" hidden="1">"c223"</definedName>
    <definedName name="IQ_CONV_DATE" hidden="1">"c2191"</definedName>
    <definedName name="IQ_CONV_EXP_DATE" hidden="1">"c3043"</definedName>
    <definedName name="IQ_CONV_PREMIUM" hidden="1">"c2195"</definedName>
    <definedName name="IQ_CONV_PRICE" hidden="1">"c2193"</definedName>
    <definedName name="IQ_CONV_RATE" hidden="1">"c2192"</definedName>
    <definedName name="IQ_CONV_RATIO" hidden="1">"c2192"</definedName>
    <definedName name="IQ_CONV_SECURITY" hidden="1">"c2189"</definedName>
    <definedName name="IQ_CONV_SECURITY_ISSUER" hidden="1">"c2190"</definedName>
    <definedName name="IQ_CONV_SECURITY_PRICE" hidden="1">"c2194"</definedName>
    <definedName name="IQ_CONVERT" hidden="1">"c2536"</definedName>
    <definedName name="IQ_CONVERT_PCT" hidden="1">"c2537"</definedName>
    <definedName name="IQ_CONVEXITY" hidden="1">"c2182"</definedName>
    <definedName name="IQ_COST_BORROWING" hidden="1">"c2936"</definedName>
    <definedName name="IQ_COST_BORROWINGS" hidden="1">"c225"</definedName>
    <definedName name="IQ_COST_REV" hidden="1">"c226"</definedName>
    <definedName name="IQ_COST_REVENUE" hidden="1">"c1359"</definedName>
    <definedName name="IQ_COST_SAVINGS" hidden="1">"c227"</definedName>
    <definedName name="IQ_COST_SERVICE" hidden="1">"c228"</definedName>
    <definedName name="IQ_COST_TOTAL_BORROWINGS" hidden="1">"c229"</definedName>
    <definedName name="IQ_COUNTRY_NAME" hidden="1">"c230"</definedName>
    <definedName name="IQ_COVERED_POPS" hidden="1">"c2124"</definedName>
    <definedName name="IQ_CP" hidden="1">"c2495"</definedName>
    <definedName name="IQ_CP_PCT" hidden="1">"c2496"</definedName>
    <definedName name="IQ_CQ" hidden="1">5000</definedName>
    <definedName name="IQ_CREDIT_CARD_FEE_BNK" hidden="1">"c231"</definedName>
    <definedName name="IQ_CREDIT_CARD_FEE_FIN" hidden="1">"c1583"</definedName>
    <definedName name="IQ_CREDIT_LOSS_CF" hidden="1">"c232"</definedName>
    <definedName name="IQ_CUMULATIVE_SPLIT_FACTOR" hidden="1">"c2094"</definedName>
    <definedName name="IQ_CURR_DOMESTIC_TAXES" hidden="1">"c2074"</definedName>
    <definedName name="IQ_CURR_FOREIGN_TAXES" hidden="1">"c2075"</definedName>
    <definedName name="IQ_CURRENCY_FACTOR_BS" hidden="1">"c233"</definedName>
    <definedName name="IQ_CURRENCY_FACTOR_IS" hidden="1">"c234"</definedName>
    <definedName name="IQ_CURRENCY_GAIN" hidden="1">"c235"</definedName>
    <definedName name="IQ_CURRENCY_GAIN_BR" hidden="1">"c236"</definedName>
    <definedName name="IQ_CURRENCY_GAIN_FIN" hidden="1">"c237"</definedName>
    <definedName name="IQ_CURRENCY_GAIN_INS" hidden="1">"c238"</definedName>
    <definedName name="IQ_CURRENCY_GAIN_REIT" hidden="1">"c239"</definedName>
    <definedName name="IQ_CURRENCY_GAIN_UTI" hidden="1">"c240"</definedName>
    <definedName name="IQ_CURRENT_PORT" hidden="1">"c241"</definedName>
    <definedName name="IQ_CURRENT_PORT_BNK" hidden="1">"c242"</definedName>
    <definedName name="IQ_CURRENT_PORT_DEBT" hidden="1">"c243"</definedName>
    <definedName name="IQ_CURRENT_PORT_DEBT_BNK" hidden="1">"c244"</definedName>
    <definedName name="IQ_CURRENT_PORT_DEBT_BR" hidden="1">"c1567"</definedName>
    <definedName name="IQ_CURRENT_PORT_DEBT_FIN" hidden="1">"c1568"</definedName>
    <definedName name="IQ_CURRENT_PORT_DEBT_INS" hidden="1">"c1569"</definedName>
    <definedName name="IQ_CURRENT_PORT_DEBT_REIT" hidden="1">"c1570"</definedName>
    <definedName name="IQ_CURRENT_PORT_DEBT_UTI" hidden="1">"c1571"</definedName>
    <definedName name="IQ_CURRENT_PORT_LEASES" hidden="1">"c245"</definedName>
    <definedName name="IQ_CURRENT_PORT_PCT" hidden="1">"c2541"</definedName>
    <definedName name="IQ_CURRENT_RATIO" hidden="1">"c246"</definedName>
    <definedName name="IQ_CUSIP" hidden="1">"c2245"</definedName>
    <definedName name="IQ_CY" hidden="1">10000</definedName>
    <definedName name="IQ_DA" hidden="1">"c247"</definedName>
    <definedName name="IQ_DA_BR" hidden="1">"c248"</definedName>
    <definedName name="IQ_DA_CF" hidden="1">"c249"</definedName>
    <definedName name="IQ_DA_CF_BNK" hidden="1">"c250"</definedName>
    <definedName name="IQ_DA_CF_BR" hidden="1">"c251"</definedName>
    <definedName name="IQ_DA_CF_FIN" hidden="1">"c252"</definedName>
    <definedName name="IQ_DA_CF_INS" hidden="1">"c253"</definedName>
    <definedName name="IQ_DA_CF_REIT" hidden="1">"c254"</definedName>
    <definedName name="IQ_DA_CF_UTI" hidden="1">"c255"</definedName>
    <definedName name="IQ_DA_FIN" hidden="1">"c256"</definedName>
    <definedName name="IQ_DA_INS" hidden="1">"c257"</definedName>
    <definedName name="IQ_DA_REIT" hidden="1">"c258"</definedName>
    <definedName name="IQ_DA_SUPPL" hidden="1">"c259"</definedName>
    <definedName name="IQ_DA_SUPPL_BR" hidden="1">"c260"</definedName>
    <definedName name="IQ_DA_SUPPL_CF" hidden="1">"c261"</definedName>
    <definedName name="IQ_DA_SUPPL_CF_BNK" hidden="1">"c262"</definedName>
    <definedName name="IQ_DA_SUPPL_CF_BR" hidden="1">"c263"</definedName>
    <definedName name="IQ_DA_SUPPL_CF_FIN" hidden="1">"c264"</definedName>
    <definedName name="IQ_DA_SUPPL_CF_INS" hidden="1">"c265"</definedName>
    <definedName name="IQ_DA_SUPPL_CF_REIT" hidden="1">"c266"</definedName>
    <definedName name="IQ_DA_SUPPL_CF_UTI" hidden="1">"c267"</definedName>
    <definedName name="IQ_DA_SUPPL_FIN" hidden="1">"c268"</definedName>
    <definedName name="IQ_DA_SUPPL_INS" hidden="1">"c269"</definedName>
    <definedName name="IQ_DA_SUPPL_REIT" hidden="1">"c270"</definedName>
    <definedName name="IQ_DA_SUPPL_UTI" hidden="1">"c271"</definedName>
    <definedName name="IQ_DA_UTI" hidden="1">"c272"</definedName>
    <definedName name="IQ_DATED_DATE" hidden="1">"c2185"</definedName>
    <definedName name="IQ_DAY_COUNT" hidden="1">"c2161"</definedName>
    <definedName name="IQ_DAYS_COVER_SHORT" hidden="1">"c1578"</definedName>
    <definedName name="IQ_DAYS_INVENTORY_OUT" hidden="1">"c273"</definedName>
    <definedName name="IQ_DAYS_PAY_OUTST" hidden="1">"c1362"</definedName>
    <definedName name="IQ_DAYS_PAYABLE_OUT" hidden="1">"c274"</definedName>
    <definedName name="IQ_DAYS_SALES_OUT" hidden="1">"c275"</definedName>
    <definedName name="IQ_DAYS_SALES_OUTST" hidden="1">"c1363"</definedName>
    <definedName name="IQ_DEBT_ADJ" hidden="1">"c2515"</definedName>
    <definedName name="IQ_DEBT_ADJ_PCT" hidden="1">"c2516"</definedName>
    <definedName name="IQ_DEBT_EQUIV_NET_PBO" hidden="1">"c2938"</definedName>
    <definedName name="IQ_DEBT_EQUIV_OPER_LEASE" hidden="1">"c2935"</definedName>
    <definedName name="IQ_DEF_ACQ_CST" hidden="1">"c1364"</definedName>
    <definedName name="IQ_DEF_AMORT" hidden="1">"c276"</definedName>
    <definedName name="IQ_DEF_AMORT_BNK" hidden="1">"c277"</definedName>
    <definedName name="IQ_DEF_AMORT_BR" hidden="1">"c278"</definedName>
    <definedName name="IQ_DEF_AMORT_FIN" hidden="1">"c279"</definedName>
    <definedName name="IQ_DEF_AMORT_INS" hidden="1">"c280"</definedName>
    <definedName name="IQ_DEF_AMORT_REIT" hidden="1">"c281"</definedName>
    <definedName name="IQ_DEF_AMORT_UTI" hidden="1">"c282"</definedName>
    <definedName name="IQ_DEF_BENEFIT_INTEREST_COST" hidden="1">"c283"</definedName>
    <definedName name="IQ_DEF_BENEFIT_INTEREST_COST_DOMESTIC" hidden="1">"c2652"</definedName>
    <definedName name="IQ_DEF_BENEFIT_INTEREST_COST_FOREIGN" hidden="1">"c2660"</definedName>
    <definedName name="IQ_DEF_BENEFIT_OTHER_COST" hidden="1">"c284"</definedName>
    <definedName name="IQ_DEF_BENEFIT_OTHER_COST_DOMESTIC" hidden="1">"c2654"</definedName>
    <definedName name="IQ_DEF_BENEFIT_OTHER_COST_FOREIGN" hidden="1">"c2662"</definedName>
    <definedName name="IQ_DEF_BENEFIT_ROA" hidden="1">"c285"</definedName>
    <definedName name="IQ_DEF_BENEFIT_ROA_DOMESTIC" hidden="1">"c2653"</definedName>
    <definedName name="IQ_DEF_BENEFIT_ROA_FOREIGN" hidden="1">"c2661"</definedName>
    <definedName name="IQ_DEF_BENEFIT_SERVICE_COST" hidden="1">"c286"</definedName>
    <definedName name="IQ_DEF_BENEFIT_SERVICE_COST_DOMESTIC" hidden="1">"c2651"</definedName>
    <definedName name="IQ_DEF_BENEFIT_SERVICE_COST_FOREIGN" hidden="1">"c2659"</definedName>
    <definedName name="IQ_DEF_BENEFIT_TOTAL_COST" hidden="1">"c287"</definedName>
    <definedName name="IQ_DEF_BENEFIT_TOTAL_COST_DOMESTIC" hidden="1">"c2655"</definedName>
    <definedName name="IQ_DEF_BENEFIT_TOTAL_COST_FOREIGN" hidden="1">"c2663"</definedName>
    <definedName name="IQ_DEF_CHARGES_BR" hidden="1">"c288"</definedName>
    <definedName name="IQ_DEF_CHARGES_CF" hidden="1">"c289"</definedName>
    <definedName name="IQ_DEF_CHARGES_FIN" hidden="1">"c290"</definedName>
    <definedName name="IQ_DEF_CHARGES_INS" hidden="1">"c291"</definedName>
    <definedName name="IQ_DEF_CHARGES_LT" hidden="1">"c292"</definedName>
    <definedName name="IQ_DEF_CHARGES_LT_BNK" hidden="1">"c293"</definedName>
    <definedName name="IQ_DEF_CHARGES_LT_BR" hidden="1">"c294"</definedName>
    <definedName name="IQ_DEF_CHARGES_LT_FIN" hidden="1">"c295"</definedName>
    <definedName name="IQ_DEF_CHARGES_LT_INS" hidden="1">"c296"</definedName>
    <definedName name="IQ_DEF_CHARGES_LT_REIT" hidden="1">"c297"</definedName>
    <definedName name="IQ_DEF_CHARGES_LT_UTI" hidden="1">"c298"</definedName>
    <definedName name="IQ_DEF_CHARGES_REIT" hidden="1">"c299"</definedName>
    <definedName name="IQ_DEF_CONTRIBUTION_TOTAL_COST" hidden="1">"c300"</definedName>
    <definedName name="IQ_DEF_INC_TAX" hidden="1">"c1365"</definedName>
    <definedName name="IQ_DEF_POLICY_ACQ_COSTS" hidden="1">"c301"</definedName>
    <definedName name="IQ_DEF_POLICY_ACQ_COSTS_CF" hidden="1">"c302"</definedName>
    <definedName name="IQ_DEF_POLICY_AMORT" hidden="1">"c303"</definedName>
    <definedName name="IQ_DEF_TAX_ASSET_LT_BR" hidden="1">"c304"</definedName>
    <definedName name="IQ_DEF_TAX_ASSET_LT_FIN" hidden="1">"c305"</definedName>
    <definedName name="IQ_DEF_TAX_ASSET_LT_INS" hidden="1">"c306"</definedName>
    <definedName name="IQ_DEF_TAX_ASSET_LT_REIT" hidden="1">"c307"</definedName>
    <definedName name="IQ_DEF_TAX_ASSET_LT_UTI" hidden="1">"c308"</definedName>
    <definedName name="IQ_DEF_TAX_ASSETS_CURRENT" hidden="1">"c309"</definedName>
    <definedName name="IQ_DEF_TAX_ASSETS_LT" hidden="1">"c310"</definedName>
    <definedName name="IQ_DEF_TAX_ASSETS_LT_BNK" hidden="1">"c311"</definedName>
    <definedName name="IQ_DEF_TAX_LIAB_CURRENT" hidden="1">"c312"</definedName>
    <definedName name="IQ_DEF_TAX_LIAB_LT" hidden="1">"c313"</definedName>
    <definedName name="IQ_DEF_TAX_LIAB_LT_BNK" hidden="1">"c314"</definedName>
    <definedName name="IQ_DEF_TAX_LIAB_LT_BR" hidden="1">"c315"</definedName>
    <definedName name="IQ_DEF_TAX_LIAB_LT_FIN" hidden="1">"c316"</definedName>
    <definedName name="IQ_DEF_TAX_LIAB_LT_INS" hidden="1">"c317"</definedName>
    <definedName name="IQ_DEF_TAX_LIAB_LT_REIT" hidden="1">"c318"</definedName>
    <definedName name="IQ_DEF_TAX_LIAB_LT_UTI" hidden="1">"c319"</definedName>
    <definedName name="IQ_DEFERRED_DOMESTIC_TAXES" hidden="1">"c2077"</definedName>
    <definedName name="IQ_DEFERRED_FOREIGN_TAXES" hidden="1">"c2078"</definedName>
    <definedName name="IQ_DEFERRED_INC_TAX" hidden="1">"c1447"</definedName>
    <definedName name="IQ_DEFERRED_TAXES" hidden="1">"c1356"</definedName>
    <definedName name="IQ_DEMAND_DEP" hidden="1">"c320"</definedName>
    <definedName name="IQ_DEPOSITS_FIN" hidden="1">"c321"</definedName>
    <definedName name="IQ_DEPRE_AMORT" hidden="1">"c1360"</definedName>
    <definedName name="IQ_DEPRE_AMORT_SUPPL" hidden="1">"c1593"</definedName>
    <definedName name="IQ_DEPRE_DEPLE" hidden="1">"c1361"</definedName>
    <definedName name="IQ_DEPRE_SUPP" hidden="1">"c1443"</definedName>
    <definedName name="IQ_DESCRIPTION_LONG" hidden="1">"c1520"</definedName>
    <definedName name="IQ_DEVELOP_LAND" hidden="1">"c323"</definedName>
    <definedName name="IQ_DIFF_LASTCLOSE_TARGET_PRICE" hidden="1">"c1854"</definedName>
    <definedName name="IQ_DILUT_ADJUST" hidden="1">"c1621"</definedName>
    <definedName name="IQ_DILUT_EPS_EXCL" hidden="1">"c324"</definedName>
    <definedName name="IQ_DILUT_EPS_INCL" hidden="1">"c325"</definedName>
    <definedName name="IQ_DILUT_EPS_NORM" hidden="1">"c1903"</definedName>
    <definedName name="IQ_DILUT_NI" hidden="1">"c2079"</definedName>
    <definedName name="IQ_DILUT_NORMAL_EPS" hidden="1">"c1594"</definedName>
    <definedName name="IQ_DILUT_WEIGHT" hidden="1">"c326"</definedName>
    <definedName name="IQ_DIRECT_AH_EARNED" hidden="1">"c2740"</definedName>
    <definedName name="IQ_DIRECT_EARNED" hidden="1">"c2730"</definedName>
    <definedName name="IQ_DIRECT_LIFE_EARNED" hidden="1">"c2735"</definedName>
    <definedName name="IQ_DIRECT_LIFE_IN_FORCE" hidden="1">"c2765"</definedName>
    <definedName name="IQ_DIRECT_PC_EARNED" hidden="1">"c2745"</definedName>
    <definedName name="IQ_DIRECT_WRITTEN" hidden="1">"c2724"</definedName>
    <definedName name="IQ_DISCONT_OPER" hidden="1">"c1367"</definedName>
    <definedName name="IQ_DISCOUNT_RATE_PENSION_DOMESTIC" hidden="1">"c327"</definedName>
    <definedName name="IQ_DISCOUNT_RATE_PENSION_FOREIGN" hidden="1">"c328"</definedName>
    <definedName name="IQ_DISTR_EXCESS_EARN" hidden="1">"c329"</definedName>
    <definedName name="IQ_DISTRIBUTABLE_CASH" hidden="1">"c3002"</definedName>
    <definedName name="IQ_DISTRIBUTABLE_CASH_PAYOUT" hidden="1">"c3005"</definedName>
    <definedName name="IQ_DISTRIBUTABLE_CASH_SHARE" hidden="1">"c3003"</definedName>
    <definedName name="IQ_DIV_AMOUNT" hidden="1">"c3041"</definedName>
    <definedName name="IQ_DIV_PAYMENT_DATE" hidden="1">"c2205"</definedName>
    <definedName name="IQ_DIV_RECORD_DATE" hidden="1">"c2204"</definedName>
    <definedName name="IQ_DIV_SHARE" hidden="1">"c330"</definedName>
    <definedName name="IQ_DIVEST_CF" hidden="1">"c331"</definedName>
    <definedName name="IQ_DIVID_SHARE" hidden="1">"c1366"</definedName>
    <definedName name="IQ_DIVIDEND_YIELD" hidden="1">"c332"</definedName>
    <definedName name="IQ_DO" hidden="1">"c333"</definedName>
    <definedName name="IQ_DO_ASSETS_CURRENT" hidden="1">"c334"</definedName>
    <definedName name="IQ_DO_ASSETS_LT" hidden="1">"c335"</definedName>
    <definedName name="IQ_DO_CF" hidden="1">"c336"</definedName>
    <definedName name="IQ_DPAC_ACC" hidden="1">"c2799"</definedName>
    <definedName name="IQ_DPAC_AMORT" hidden="1">"c2795"</definedName>
    <definedName name="IQ_DPAC_BEG" hidden="1">"c2791"</definedName>
    <definedName name="IQ_DPAC_COMMISSIONS" hidden="1">"c2792"</definedName>
    <definedName name="IQ_DPAC_END" hidden="1">"c2801"</definedName>
    <definedName name="IQ_DPAC_FX" hidden="1">"c2798"</definedName>
    <definedName name="IQ_DPAC_OTHER_ADJ" hidden="1">"c2800"</definedName>
    <definedName name="IQ_DPAC_OTHERS" hidden="1">"c2793"</definedName>
    <definedName name="IQ_DPAC_PERIOD" hidden="1">"c2794"</definedName>
    <definedName name="IQ_DPAC_REAL_GAIN" hidden="1">"c2797"</definedName>
    <definedName name="IQ_DPAC_UNREAL_GAIN" hidden="1">"c2796"</definedName>
    <definedName name="IQ_DPS_10YR_ANN_GROWTH" hidden="1">"c337"</definedName>
    <definedName name="IQ_DPS_1YR_ANN_GROWTH" hidden="1">"c338"</definedName>
    <definedName name="IQ_DPS_2YR_ANN_GROWTH" hidden="1">"c339"</definedName>
    <definedName name="IQ_DPS_3YR_ANN_GROWTH" hidden="1">"c340"</definedName>
    <definedName name="IQ_DPS_5YR_ANN_GROWTH" hidden="1">"c341"</definedName>
    <definedName name="IQ_DPS_7YR_ANN_GROWTH" hidden="1">"c342"</definedName>
    <definedName name="IQ_DPS_ACT_OR_EST" hidden="1">"c2218"</definedName>
    <definedName name="IQ_DPS_EST" hidden="1">"c1674"</definedName>
    <definedName name="IQ_DPS_HIGH_EST" hidden="1">"c1676"</definedName>
    <definedName name="IQ_DPS_LOW_EST" hidden="1">"c1677"</definedName>
    <definedName name="IQ_DPS_MEDIAN_EST" hidden="1">"c1675"</definedName>
    <definedName name="IQ_DPS_NUM_EST" hidden="1">"c1678"</definedName>
    <definedName name="IQ_DPS_STDDEV_EST" hidden="1">"c1679"</definedName>
    <definedName name="IQ_DURATION" hidden="1">"c2181"</definedName>
    <definedName name="IQ_EARNING_ASSET_YIELD" hidden="1">"c343"</definedName>
    <definedName name="IQ_EARNING_CO" hidden="1">"c344"</definedName>
    <definedName name="IQ_EARNING_CO_10YR_ANN_GROWTH" hidden="1">"c345"</definedName>
    <definedName name="IQ_EARNING_CO_1YR_ANN_GROWTH" hidden="1">"c346"</definedName>
    <definedName name="IQ_EARNING_CO_2YR_ANN_GROWTH" hidden="1">"c347"</definedName>
    <definedName name="IQ_EARNING_CO_3YR_ANN_GROWTH" hidden="1">"c348"</definedName>
    <definedName name="IQ_EARNING_CO_5YR_ANN_GROWTH" hidden="1">"c349"</definedName>
    <definedName name="IQ_EARNING_CO_7YR_ANN_GROWTH" hidden="1">"c350"</definedName>
    <definedName name="IQ_EARNING_CO_MARGIN" hidden="1">"c351"</definedName>
    <definedName name="IQ_EARNINGS_ANNOUNCE_DATE" hidden="1">"c1649"</definedName>
    <definedName name="IQ_EBIT" hidden="1">"c352"</definedName>
    <definedName name="IQ_EBIT_10YR_ANN_GROWTH" hidden="1">"c353"</definedName>
    <definedName name="IQ_EBIT_1YR_ANN_GROWTH" hidden="1">"c354"</definedName>
    <definedName name="IQ_EBIT_2YR_ANN_GROWTH" hidden="1">"c355"</definedName>
    <definedName name="IQ_EBIT_3YR_ANN_GROWTH" hidden="1">"c356"</definedName>
    <definedName name="IQ_EBIT_5YR_ANN_GROWTH" hidden="1">"c357"</definedName>
    <definedName name="IQ_EBIT_7YR_ANN_GROWTH" hidden="1">"c358"</definedName>
    <definedName name="IQ_EBIT_ACT_OR_EST" hidden="1">"c2219"</definedName>
    <definedName name="IQ_EBIT_EST" hidden="1">"c1681"</definedName>
    <definedName name="IQ_EBIT_HIGH_EST" hidden="1">"c1683"</definedName>
    <definedName name="IQ_EBIT_INT" hidden="1">"c360"</definedName>
    <definedName name="IQ_EBIT_LOW_EST" hidden="1">"c1684"</definedName>
    <definedName name="IQ_EBIT_MARGIN" hidden="1">"c359"</definedName>
    <definedName name="IQ_EBIT_MEDIAN_EST" hidden="1">"c1682"</definedName>
    <definedName name="IQ_EBIT_NUM_EST" hidden="1">"c1685"</definedName>
    <definedName name="IQ_EBIT_OVER_IE" hidden="1">"c1369"</definedName>
    <definedName name="IQ_EBIT_STDDEV_EST" hidden="1">"c1686"</definedName>
    <definedName name="IQ_EBITA" hidden="1">"c1910"</definedName>
    <definedName name="IQ_EBITA_10YR_ANN_GROWTH" hidden="1">"c1954"</definedName>
    <definedName name="IQ_EBITA_1YR_ANN_GROWTH" hidden="1">"c1949"</definedName>
    <definedName name="IQ_EBITA_2YR_ANN_GROWTH" hidden="1">"c1950"</definedName>
    <definedName name="IQ_EBITA_3YR_ANN_GROWTH" hidden="1">"c1951"</definedName>
    <definedName name="IQ_EBITA_5YR_ANN_GROWTH" hidden="1">"c1952"</definedName>
    <definedName name="IQ_EBITA_7YR_ANN_GROWTH" hidden="1">"c1953"</definedName>
    <definedName name="IQ_EBITA_MARGIN" hidden="1">"c1963"</definedName>
    <definedName name="IQ_EBITDA" hidden="1">"c361"</definedName>
    <definedName name="IQ_EBITDA_10YR_ANN_GROWTH" hidden="1">"c362"</definedName>
    <definedName name="IQ_EBITDA_1YR_ANN_GROWTH" hidden="1">"c363"</definedName>
    <definedName name="IQ_EBITDA_2YR_ANN_GROWTH" hidden="1">"c364"</definedName>
    <definedName name="IQ_EBITDA_3YR_ANN_GROWTH" hidden="1">"c365"</definedName>
    <definedName name="IQ_EBITDA_5YR_ANN_GROWTH" hidden="1">"c366"</definedName>
    <definedName name="IQ_EBITDA_7YR_ANN_GROWTH" hidden="1">"c367"</definedName>
    <definedName name="IQ_EBITDA_ACT_OR_EST" hidden="1">"c2215"</definedName>
    <definedName name="IQ_EBITDA_CAPEX_INT" hidden="1">"c368"</definedName>
    <definedName name="IQ_EBITDA_CAPEX_OVER_TOTAL_IE" hidden="1">"c1370"</definedName>
    <definedName name="IQ_EBITDA_EST" hidden="1">"c369"</definedName>
    <definedName name="IQ_EBITDA_HIGH_EST" hidden="1">"c370"</definedName>
    <definedName name="IQ_EBITDA_INT" hidden="1">"c373"</definedName>
    <definedName name="IQ_EBITDA_LOW_EST" hidden="1">"c371"</definedName>
    <definedName name="IQ_EBITDA_MARGIN" hidden="1">"c372"</definedName>
    <definedName name="IQ_EBITDA_MEDIAN_EST" hidden="1">"c1663"</definedName>
    <definedName name="IQ_EBITDA_NUM_EST" hidden="1">"c374"</definedName>
    <definedName name="IQ_EBITDA_OVER_TOTAL_IE" hidden="1">"c1371"</definedName>
    <definedName name="IQ_EBITDA_STDDEV_EST" hidden="1">"c375"</definedName>
    <definedName name="IQ_EBITDAR" hidden="1">"c2989"</definedName>
    <definedName name="IQ_EBT" hidden="1">"c376"</definedName>
    <definedName name="IQ_EBT_BNK" hidden="1">"c377"</definedName>
    <definedName name="IQ_EBT_BR" hidden="1">"c378"</definedName>
    <definedName name="IQ_EBT_EXCL" hidden="1">"c379"</definedName>
    <definedName name="IQ_EBT_EXCL_BNK" hidden="1">"c380"</definedName>
    <definedName name="IQ_EBT_EXCL_BR" hidden="1">"c381"</definedName>
    <definedName name="IQ_EBT_EXCL_FIN" hidden="1">"c382"</definedName>
    <definedName name="IQ_EBT_EXCL_INS" hidden="1">"c383"</definedName>
    <definedName name="IQ_EBT_EXCL_MARGIN" hidden="1">"c1462"</definedName>
    <definedName name="IQ_EBT_EXCL_REIT" hidden="1">"c384"</definedName>
    <definedName name="IQ_EBT_EXCL_UTI" hidden="1">"c385"</definedName>
    <definedName name="IQ_EBT_FIN" hidden="1">"c386"</definedName>
    <definedName name="IQ_EBT_INCL_MARGIN" hidden="1">"c387"</definedName>
    <definedName name="IQ_EBT_INS" hidden="1">"c388"</definedName>
    <definedName name="IQ_EBT_REIT" hidden="1">"c389"</definedName>
    <definedName name="IQ_EBT_UTI" hidden="1">"c390"</definedName>
    <definedName name="IQ_EFFECT_SPECIAL_CHARGE" hidden="1">"c1595"</definedName>
    <definedName name="IQ_EFFECT_TAX_RATE" hidden="1">"c1899"</definedName>
    <definedName name="IQ_EFFICIENCY_RATIO" hidden="1">"c391"</definedName>
    <definedName name="IQ_EMPLOYEES" hidden="1">"c392"</definedName>
    <definedName name="IQ_ENTERPRISE_VALUE" hidden="1">"c1348"</definedName>
    <definedName name="IQ_EPS_10YR_ANN_GROWTH" hidden="1">"c393"</definedName>
    <definedName name="IQ_EPS_1YR_ANN_GROWTH" hidden="1">"c394"</definedName>
    <definedName name="IQ_EPS_2YR_ANN_GROWTH" hidden="1">"c395"</definedName>
    <definedName name="IQ_EPS_3YR_ANN_GROWTH" hidden="1">"c396"</definedName>
    <definedName name="IQ_EPS_5YR_ANN_GROWTH" hidden="1">"c397"</definedName>
    <definedName name="IQ_EPS_7YR_ANN_GROWTH" hidden="1">"c398"</definedName>
    <definedName name="IQ_EPS_ACT_OR_EST" hidden="1">"c2213"</definedName>
    <definedName name="IQ_EPS_EST" hidden="1">"c399"</definedName>
    <definedName name="IQ_EPS_GW_ACT_OR_EST" hidden="1">"c2223"</definedName>
    <definedName name="IQ_EPS_GW_EST" hidden="1">"c1737"</definedName>
    <definedName name="IQ_EPS_GW_HIGH_EST" hidden="1">"c1739"</definedName>
    <definedName name="IQ_EPS_GW_LOW_EST" hidden="1">"c1740"</definedName>
    <definedName name="IQ_EPS_GW_MEDIAN_EST" hidden="1">"c1738"</definedName>
    <definedName name="IQ_EPS_GW_NUM_EST" hidden="1">"c1741"</definedName>
    <definedName name="IQ_EPS_GW_STDDEV_EST" hidden="1">"c1742"</definedName>
    <definedName name="IQ_EPS_HIGH_EST" hidden="1">"c400"</definedName>
    <definedName name="IQ_EPS_LOW_EST" hidden="1">"c401"</definedName>
    <definedName name="IQ_EPS_MEDIAN_EST" hidden="1">"c1661"</definedName>
    <definedName name="IQ_EPS_NORM" hidden="1">"c1902"</definedName>
    <definedName name="IQ_EPS_NORM_EST" hidden="1">"c2226"</definedName>
    <definedName name="IQ_EPS_NORM_HIGH_EST" hidden="1">"c2228"</definedName>
    <definedName name="IQ_EPS_NORM_LOW_EST" hidden="1">"c2229"</definedName>
    <definedName name="IQ_EPS_NORM_MEDIAN_EST" hidden="1">"c2227"</definedName>
    <definedName name="IQ_EPS_NORM_NUM_EST" hidden="1">"c2230"</definedName>
    <definedName name="IQ_EPS_NORM_STDDEV_EST" hidden="1">"c2231"</definedName>
    <definedName name="IQ_EPS_NUM_EST" hidden="1">"c402"</definedName>
    <definedName name="IQ_EPS_REPORT_ACT_OR_EST" hidden="1">"c2224"</definedName>
    <definedName name="IQ_EPS_REPORTED_EST" hidden="1">"c1744"</definedName>
    <definedName name="IQ_EPS_REPORTED_HIGH_EST" hidden="1">"c1746"</definedName>
    <definedName name="IQ_EPS_REPORTED_LOW_EST" hidden="1">"c1747"</definedName>
    <definedName name="IQ_EPS_REPORTED_MEDIAN_EST" hidden="1">"c1745"</definedName>
    <definedName name="IQ_EPS_REPORTED_NUM_EST" hidden="1">"c1748"</definedName>
    <definedName name="IQ_EPS_REPORTED_STDDEV_EST" hidden="1">"c1749"</definedName>
    <definedName name="IQ_EPS_STDDEV_EST" hidden="1">"c403"</definedName>
    <definedName name="IQ_EQUITY_AFFIL" hidden="1">"c1451"</definedName>
    <definedName name="IQ_EQUITY_METHOD" hidden="1">"c404"</definedName>
    <definedName name="IQ_EQV_OVER_BV" hidden="1">"c1596"</definedName>
    <definedName name="IQ_EQV_OVER_LTM_PRETAX_INC" hidden="1">"c1390"</definedName>
    <definedName name="IQ_ESOP_DEBT" hidden="1">"c1597"</definedName>
    <definedName name="IQ_EST_ACT_CFPS" hidden="1">"c1673"</definedName>
    <definedName name="IQ_EST_ACT_DPS" hidden="1">"c1680"</definedName>
    <definedName name="IQ_EST_ACT_EBIT" hidden="1">"c1687"</definedName>
    <definedName name="IQ_EST_ACT_EBITDA" hidden="1">"c1664"</definedName>
    <definedName name="IQ_EST_ACT_EPS" hidden="1">"c1648"</definedName>
    <definedName name="IQ_EST_ACT_EPS_GW" hidden="1">"c1743"</definedName>
    <definedName name="IQ_EST_ACT_EPS_NORM" hidden="1">"c2232"</definedName>
    <definedName name="IQ_EST_ACT_EPS_REPORTED" hidden="1">"c1750"</definedName>
    <definedName name="IQ_EST_ACT_FFO" hidden="1">"c1666"</definedName>
    <definedName name="IQ_EST_ACT_NAV" hidden="1">"c1757"</definedName>
    <definedName name="IQ_EST_ACT_NI" hidden="1">"c1722"</definedName>
    <definedName name="IQ_EST_ACT_NI_GW" hidden="1">"c1729"</definedName>
    <definedName name="IQ_EST_ACT_NI_REPORTED" hidden="1">"c1736"</definedName>
    <definedName name="IQ_EST_ACT_OPER_INC" hidden="1">"c1694"</definedName>
    <definedName name="IQ_EST_ACT_PRETAX_GW_INC" hidden="1">"c1708"</definedName>
    <definedName name="IQ_EST_ACT_PRETAX_INC" hidden="1">"c1701"</definedName>
    <definedName name="IQ_EST_ACT_PRETAX_REPORT_INC" hidden="1">"c1715"</definedName>
    <definedName name="IQ_EST_ACT_REV" hidden="1">"c2113"</definedName>
    <definedName name="IQ_EST_CFPS_DIFF" hidden="1">"c1871"</definedName>
    <definedName name="IQ_EST_CFPS_GROWTH_1YR" hidden="1">"c1774"</definedName>
    <definedName name="IQ_EST_CFPS_GROWTH_2YR" hidden="1">"c1775"</definedName>
    <definedName name="IQ_EST_CFPS_GROWTH_Q_1YR" hidden="1">"c1776"</definedName>
    <definedName name="IQ_EST_CFPS_SEQ_GROWTH_Q" hidden="1">"c1777"</definedName>
    <definedName name="IQ_EST_CFPS_SURPRISE_PERCENT" hidden="1">"c1872"</definedName>
    <definedName name="IQ_EST_CURRENCY" hidden="1">"c2140"</definedName>
    <definedName name="IQ_EST_DATE" hidden="1">"c1634"</definedName>
    <definedName name="IQ_EST_DPS_DIFF" hidden="1">"c1873"</definedName>
    <definedName name="IQ_EST_DPS_GROWTH_1YR" hidden="1">"c1778"</definedName>
    <definedName name="IQ_EST_DPS_GROWTH_2YR" hidden="1">"c1779"</definedName>
    <definedName name="IQ_EST_DPS_GROWTH_Q_1YR" hidden="1">"c1780"</definedName>
    <definedName name="IQ_EST_DPS_SEQ_GROWTH_Q" hidden="1">"c1781"</definedName>
    <definedName name="IQ_EST_DPS_SURPRISE_PERCENT" hidden="1">"c1874"</definedName>
    <definedName name="IQ_EST_EBIT_DIFF" hidden="1">"c1875"</definedName>
    <definedName name="IQ_EST_EBIT_SURPRISE_PERCENT" hidden="1">"c1876"</definedName>
    <definedName name="IQ_EST_EBITDA_DIFF" hidden="1">"c1867"</definedName>
    <definedName name="IQ_EST_EBITDA_GROWTH_1YR" hidden="1">"c1766"</definedName>
    <definedName name="IQ_EST_EBITDA_GROWTH_2YR" hidden="1">"c1767"</definedName>
    <definedName name="IQ_EST_EBITDA_GROWTH_Q_1YR" hidden="1">"c1768"</definedName>
    <definedName name="IQ_EST_EBITDA_SEQ_GROWTH_Q" hidden="1">"c1769"</definedName>
    <definedName name="IQ_EST_EBITDA_SURPRISE_PERCENT" hidden="1">"c1868"</definedName>
    <definedName name="IQ_EST_EPS_DIFF" hidden="1">"c1864"</definedName>
    <definedName name="IQ_EST_EPS_GROWTH_1YR" hidden="1">"c1636"</definedName>
    <definedName name="IQ_EST_EPS_GROWTH_2YR" hidden="1">"c1637"</definedName>
    <definedName name="IQ_EST_EPS_GROWTH_5YR" hidden="1">"c1655"</definedName>
    <definedName name="IQ_EST_EPS_GROWTH_5YR_HIGH" hidden="1">"c1657"</definedName>
    <definedName name="IQ_EST_EPS_GROWTH_5YR_LOW" hidden="1">"c1658"</definedName>
    <definedName name="IQ_EST_EPS_GROWTH_5YR_MEDIAN" hidden="1">"c1656"</definedName>
    <definedName name="IQ_EST_EPS_GROWTH_5YR_NUM" hidden="1">"c1659"</definedName>
    <definedName name="IQ_EST_EPS_GROWTH_5YR_STDDEV" hidden="1">"c1660"</definedName>
    <definedName name="IQ_EST_EPS_GROWTH_Q_1YR" hidden="1">"c1641"</definedName>
    <definedName name="IQ_EST_EPS_GW_DIFF" hidden="1">"c1891"</definedName>
    <definedName name="IQ_EST_EPS_GW_SURPRISE_PERCENT" hidden="1">"c1892"</definedName>
    <definedName name="IQ_EST_EPS_NORM_DIFF" hidden="1">"c2247"</definedName>
    <definedName name="IQ_EST_EPS_NORM_SURPRISE_PERCENT" hidden="1">"c2248"</definedName>
    <definedName name="IQ_EST_EPS_REPORT_DIFF" hidden="1">"c1893"</definedName>
    <definedName name="IQ_EST_EPS_REPORT_SURPRISE_PERCENT" hidden="1">"c1894"</definedName>
    <definedName name="IQ_EST_EPS_SEQ_GROWTH_Q" hidden="1">"c1764"</definedName>
    <definedName name="IQ_EST_EPS_SURPRISE_PERCENT" hidden="1">"c1635"</definedName>
    <definedName name="IQ_EST_FFO_DIFF" hidden="1">"c1869"</definedName>
    <definedName name="IQ_EST_FFO_GROWTH_1YR" hidden="1">"c1770"</definedName>
    <definedName name="IQ_EST_FFO_GROWTH_2YR" hidden="1">"c1771"</definedName>
    <definedName name="IQ_EST_FFO_GROWTH_Q_1YR" hidden="1">"c1772"</definedName>
    <definedName name="IQ_EST_FFO_SEQ_GROWTH_Q" hidden="1">"c1773"</definedName>
    <definedName name="IQ_EST_FFO_SURPRISE_PERCENT" hidden="1">"c1870"</definedName>
    <definedName name="IQ_EST_NAV_DIFF" hidden="1">"c1895"</definedName>
    <definedName name="IQ_EST_NAV_SURPRISE_PERCENT" hidden="1">"c1896"</definedName>
    <definedName name="IQ_EST_NI_DIFF" hidden="1">"c1885"</definedName>
    <definedName name="IQ_EST_NI_GW_DIFF" hidden="1">"c1887"</definedName>
    <definedName name="IQ_EST_NI_GW_SURPRISE_PERCENT" hidden="1">"c1888"</definedName>
    <definedName name="IQ_EST_NI_REPORT_DIFF" hidden="1">"c1889"</definedName>
    <definedName name="IQ_EST_NI_REPORT_SURPRISE_PERCENT" hidden="1">"c1890"</definedName>
    <definedName name="IQ_EST_NI_SURPRISE_PERCENT" hidden="1">"c1886"</definedName>
    <definedName name="IQ_EST_NUM_BUY" hidden="1">"c1759"</definedName>
    <definedName name="IQ_EST_NUM_HOLD" hidden="1">"c1761"</definedName>
    <definedName name="IQ_EST_NUM_NO_OPINION" hidden="1">"c1758"</definedName>
    <definedName name="IQ_EST_NUM_OUTPERFORM" hidden="1">"c1760"</definedName>
    <definedName name="IQ_EST_NUM_SELL" hidden="1">"c1763"</definedName>
    <definedName name="IQ_EST_NUM_UNDERPERFORM" hidden="1">"c1762"</definedName>
    <definedName name="IQ_EST_OPER_INC_DIFF" hidden="1">"c1877"</definedName>
    <definedName name="IQ_EST_OPER_INC_SURPRISE_PERCENT" hidden="1">"c1878"</definedName>
    <definedName name="IQ_EST_PRE_TAX_DIFF" hidden="1">"c1879"</definedName>
    <definedName name="IQ_EST_PRE_TAX_GW_DIFF" hidden="1">"c1881"</definedName>
    <definedName name="IQ_EST_PRE_TAX_GW_SURPRISE_PERCENT" hidden="1">"c1882"</definedName>
    <definedName name="IQ_EST_PRE_TAX_REPORT_DIFF" hidden="1">"c1883"</definedName>
    <definedName name="IQ_EST_PRE_TAX_REPORT_SURPRISE_PERCENT" hidden="1">"c1884"</definedName>
    <definedName name="IQ_EST_PRE_TAX_SURPRISE_PERCENT" hidden="1">"c1880"</definedName>
    <definedName name="IQ_EST_REV_DIFF" hidden="1">"c1865"</definedName>
    <definedName name="IQ_EST_REV_GROWTH_1YR" hidden="1">"c1638"</definedName>
    <definedName name="IQ_EST_REV_GROWTH_2YR" hidden="1">"c1639"</definedName>
    <definedName name="IQ_EST_REV_GROWTH_Q_1YR" hidden="1">"c1640"</definedName>
    <definedName name="IQ_EST_REV_SEQ_GROWTH_Q" hidden="1">"c1765"</definedName>
    <definedName name="IQ_EST_REV_SURPRISE_PERCENT" hidden="1">"c1866"</definedName>
    <definedName name="IQ_EV_OVER_EMPLOYEE" hidden="1">"c1428"</definedName>
    <definedName name="IQ_EV_OVER_LTM_EBIT" hidden="1">"c1426"</definedName>
    <definedName name="IQ_EV_OVER_LTM_EBITDA" hidden="1">"c1427"</definedName>
    <definedName name="IQ_EV_OVER_LTM_REVENUE" hidden="1">"c1429"</definedName>
    <definedName name="IQ_EVAL_DATE" hidden="1">"c2180"</definedName>
    <definedName name="IQ_EXCHANGE" hidden="1">"c405"</definedName>
    <definedName name="IQ_EXERCISE_PRICE" hidden="1">"c1897"</definedName>
    <definedName name="IQ_EXERCISED" hidden="1">"c406"</definedName>
    <definedName name="IQ_EXP_RETURN_PENSION_DOMESTIC" hidden="1">"c407"</definedName>
    <definedName name="IQ_EXP_RETURN_PENSION_FOREIGN" hidden="1">"c408"</definedName>
    <definedName name="IQ_EXPLORE_DRILL" hidden="1">"c409"</definedName>
    <definedName name="IQ_EXTRA_ACC_ITEMS" hidden="1">"c410"</definedName>
    <definedName name="IQ_EXTRA_ACC_ITEMS_BNK" hidden="1">"c411"</definedName>
    <definedName name="IQ_EXTRA_ACC_ITEMS_BR" hidden="1">"c412"</definedName>
    <definedName name="IQ_EXTRA_ACC_ITEMS_FIN" hidden="1">"c413"</definedName>
    <definedName name="IQ_EXTRA_ACC_ITEMS_INS" hidden="1">"c414"</definedName>
    <definedName name="IQ_EXTRA_ACC_ITEMS_REIT" hidden="1">"c415"</definedName>
    <definedName name="IQ_EXTRA_ACC_ITEMS_UTI" hidden="1">"c416"</definedName>
    <definedName name="IQ_EXTRA_ITEMS" hidden="1">"c1459"</definedName>
    <definedName name="IQ_FDIC" hidden="1">"c417"</definedName>
    <definedName name="IQ_FEDFUNDS_SOLD" hidden="1">"c2256"</definedName>
    <definedName name="IQ_FFO" hidden="1">"c1574"</definedName>
    <definedName name="IQ_FFO_ACT_OR_EST" hidden="1">"c2216"</definedName>
    <definedName name="IQ_FFO_EST" hidden="1">"c418"</definedName>
    <definedName name="IQ_FFO_HIGH_EST" hidden="1">"c419"</definedName>
    <definedName name="IQ_FFO_LOW_EST" hidden="1">"c420"</definedName>
    <definedName name="IQ_FFO_MEDIAN_EST" hidden="1">"c1665"</definedName>
    <definedName name="IQ_FFO_NUM_EST" hidden="1">"c421"</definedName>
    <definedName name="IQ_FFO_STDDEV_EST" hidden="1">"c422"</definedName>
    <definedName name="IQ_FHLB_DEBT" hidden="1">"c423"</definedName>
    <definedName name="IQ_FHLB_DUE_CY" hidden="1">"c2080"</definedName>
    <definedName name="IQ_FHLB_DUE_CY1" hidden="1">"c2081"</definedName>
    <definedName name="IQ_FHLB_DUE_CY2" hidden="1">"c2082"</definedName>
    <definedName name="IQ_FHLB_DUE_CY3" hidden="1">"c2083"</definedName>
    <definedName name="IQ_FHLB_DUE_CY4" hidden="1">"c2084"</definedName>
    <definedName name="IQ_FHLB_DUE_NEXT_FIVE" hidden="1">"c2085"</definedName>
    <definedName name="IQ_FILING_CURRENCY" hidden="1">"c2129"</definedName>
    <definedName name="IQ_FILINGDATE_BS" hidden="1">"c424"</definedName>
    <definedName name="IQ_FILINGDATE_CF" hidden="1">"c425"</definedName>
    <definedName name="IQ_FILINGDATE_IS" hidden="1">"c426"</definedName>
    <definedName name="IQ_FILM_RIGHTS" hidden="1">"c2254"</definedName>
    <definedName name="IQ_FIN_DIV_ASSETS_CURRENT" hidden="1">"c427"</definedName>
    <definedName name="IQ_FIN_DIV_ASSETS_LT" hidden="1">"c428"</definedName>
    <definedName name="IQ_FIN_DIV_DEBT_CURRENT" hidden="1">"c429"</definedName>
    <definedName name="IQ_FIN_DIV_DEBT_LT" hidden="1">"c430"</definedName>
    <definedName name="IQ_FIN_DIV_EXP" hidden="1">"c431"</definedName>
    <definedName name="IQ_FIN_DIV_INT_EXP" hidden="1">"c432"</definedName>
    <definedName name="IQ_FIN_DIV_LIAB_CURRENT" hidden="1">"c433"</definedName>
    <definedName name="IQ_FIN_DIV_LIAB_LT" hidden="1">"c434"</definedName>
    <definedName name="IQ_FIN_DIV_LOANS_CURRENT" hidden="1">"c435"</definedName>
    <definedName name="IQ_FIN_DIV_LOANS_LT" hidden="1">"c436"</definedName>
    <definedName name="IQ_FIN_DIV_REV" hidden="1">"c437"</definedName>
    <definedName name="IQ_FINANCING_CASH" hidden="1">"c1405"</definedName>
    <definedName name="IQ_FINANCING_CASH_SUPPL" hidden="1">"c1406"</definedName>
    <definedName name="IQ_FINISHED_INV" hidden="1">"c438"</definedName>
    <definedName name="IQ_FIRST_INT_DATE" hidden="1">"c2186"</definedName>
    <definedName name="IQ_FIRST_YEAR_LIFE" hidden="1">"c439"</definedName>
    <definedName name="IQ_FIRST_YEAR_LIFE_PREM" hidden="1">"c2787"</definedName>
    <definedName name="IQ_FIRST_YEAR_PREM" hidden="1">"c2786"</definedName>
    <definedName name="IQ_FIRSTPRICINGDATE" hidden="1">"c3050"</definedName>
    <definedName name="IQ_FISCAL_Q" hidden="1">"c440"</definedName>
    <definedName name="IQ_FISCAL_Y" hidden="1">"c441"</definedName>
    <definedName name="IQ_FIVE_PERCENT_OWNER" hidden="1">"c442"</definedName>
    <definedName name="IQ_FIVEPERCENT_PERCENT" hidden="1">"c443"</definedName>
    <definedName name="IQ_FIVEPERCENT_SHARES" hidden="1">"c444"</definedName>
    <definedName name="IQ_FIXED_ASSET_TURNS" hidden="1">"c445"</definedName>
    <definedName name="IQ_FLOAT_PERCENT" hidden="1">"c1575"</definedName>
    <definedName name="IQ_FOREIGN_DEP_IB" hidden="1">"c446"</definedName>
    <definedName name="IQ_FOREIGN_DEP_NON_IB" hidden="1">"c447"</definedName>
    <definedName name="IQ_FOREIGN_EXCHANGE" hidden="1">"c1376"</definedName>
    <definedName name="IQ_FOREIGN_LOANS" hidden="1">"c448"</definedName>
    <definedName name="IQ_FQ" hidden="1">500</definedName>
    <definedName name="IQ_FUEL" hidden="1">"c449"</definedName>
    <definedName name="IQ_FULL_TIME" hidden="1">"c450"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X" hidden="1">"c451"</definedName>
    <definedName name="IQ_FY" hidden="1">1000</definedName>
    <definedName name="IQ_GA_EXP" hidden="1">"c2241"</definedName>
    <definedName name="IQ_GAIN_ASSETS" hidden="1">"c452"</definedName>
    <definedName name="IQ_GAIN_ASSETS_BNK" hidden="1">"c453"</definedName>
    <definedName name="IQ_GAIN_ASSETS_BR" hidden="1">"c454"</definedName>
    <definedName name="IQ_GAIN_ASSETS_CF" hidden="1">"c455"</definedName>
    <definedName name="IQ_GAIN_ASSETS_CF_BNK" hidden="1">"c456"</definedName>
    <definedName name="IQ_GAIN_ASSETS_CF_BR" hidden="1">"c457"</definedName>
    <definedName name="IQ_GAIN_ASSETS_CF_FIN" hidden="1">"c458"</definedName>
    <definedName name="IQ_GAIN_ASSETS_CF_INS" hidden="1">"c459"</definedName>
    <definedName name="IQ_GAIN_ASSETS_CF_REIT" hidden="1">"c460"</definedName>
    <definedName name="IQ_GAIN_ASSETS_CF_UTI" hidden="1">"c461"</definedName>
    <definedName name="IQ_GAIN_ASSETS_FIN" hidden="1">"c462"</definedName>
    <definedName name="IQ_GAIN_ASSETS_INS" hidden="1">"c463"</definedName>
    <definedName name="IQ_GAIN_ASSETS_REIT" hidden="1">"c471"</definedName>
    <definedName name="IQ_GAIN_ASSETS_REV" hidden="1">"c472"</definedName>
    <definedName name="IQ_GAIN_ASSETS_REV_BNK" hidden="1">"c473"</definedName>
    <definedName name="IQ_GAIN_ASSETS_REV_BR" hidden="1">"c474"</definedName>
    <definedName name="IQ_GAIN_ASSETS_REV_FIN" hidden="1">"c475"</definedName>
    <definedName name="IQ_GAIN_ASSETS_REV_INS" hidden="1">"c476"</definedName>
    <definedName name="IQ_GAIN_ASSETS_REV_REIT" hidden="1">"c477"</definedName>
    <definedName name="IQ_GAIN_ASSETS_REV_UTI" hidden="1">"c478"</definedName>
    <definedName name="IQ_GAIN_ASSETS_UTI" hidden="1">"c479"</definedName>
    <definedName name="IQ_GAIN_INVEST" hidden="1">"c1463"</definedName>
    <definedName name="IQ_GAIN_INVEST_BNK" hidden="1">"c1582"</definedName>
    <definedName name="IQ_GAIN_INVEST_BR" hidden="1">"c1464"</definedName>
    <definedName name="IQ_GAIN_INVEST_CF" hidden="1">"c480"</definedName>
    <definedName name="IQ_GAIN_INVEST_CF_BNK" hidden="1">"c481"</definedName>
    <definedName name="IQ_GAIN_INVEST_CF_BR" hidden="1">"c482"</definedName>
    <definedName name="IQ_GAIN_INVEST_CF_FIN" hidden="1">"c483"</definedName>
    <definedName name="IQ_GAIN_INVEST_CF_INS" hidden="1">"c484"</definedName>
    <definedName name="IQ_GAIN_INVEST_CF_REIT" hidden="1">"c485"</definedName>
    <definedName name="IQ_GAIN_INVEST_CF_UTI" hidden="1">"c486"</definedName>
    <definedName name="IQ_GAIN_INVEST_FIN" hidden="1">"c1465"</definedName>
    <definedName name="IQ_GAIN_INVEST_INS" hidden="1">"c1466"</definedName>
    <definedName name="IQ_GAIN_INVEST_REIT" hidden="1">"c1467"</definedName>
    <definedName name="IQ_GAIN_INVEST_REV" hidden="1">"c494"</definedName>
    <definedName name="IQ_GAIN_INVEST_REV_BNK" hidden="1">"c495"</definedName>
    <definedName name="IQ_GAIN_INVEST_REV_BR" hidden="1">"c496"</definedName>
    <definedName name="IQ_GAIN_INVEST_REV_FIN" hidden="1">"c497"</definedName>
    <definedName name="IQ_GAIN_INVEST_REV_INS" hidden="1">"c498"</definedName>
    <definedName name="IQ_GAIN_INVEST_REV_REIT" hidden="1">"c499"</definedName>
    <definedName name="IQ_GAIN_INVEST_REV_UTI" hidden="1">"c500"</definedName>
    <definedName name="IQ_GAIN_INVEST_UTI" hidden="1">"c1468"</definedName>
    <definedName name="IQ_GAIN_LOANS_REC" hidden="1">"c501"</definedName>
    <definedName name="IQ_GAIN_LOANS_RECEIV" hidden="1">"c502"</definedName>
    <definedName name="IQ_GAIN_LOANS_RECEIV_REV_FIN" hidden="1">"c503"</definedName>
    <definedName name="IQ_GAIN_LOANS_REV" hidden="1">"c504"</definedName>
    <definedName name="IQ_GAIN_SALE_ASSETS" hidden="1">"c1377"</definedName>
    <definedName name="IQ_GOODWILL_NET" hidden="1">"c1380"</definedName>
    <definedName name="IQ_GP" hidden="1">"c511"</definedName>
    <definedName name="IQ_GP_10YR_ANN_GROWTH" hidden="1">"c512"</definedName>
    <definedName name="IQ_GP_1YR_ANN_GROWTH" hidden="1">"c513"</definedName>
    <definedName name="IQ_GP_2YR_ANN_GROWTH" hidden="1">"c514"</definedName>
    <definedName name="IQ_GP_3YR_ANN_GROWTH" hidden="1">"c515"</definedName>
    <definedName name="IQ_GP_5YR_ANN_GROWTH" hidden="1">"c516"</definedName>
    <definedName name="IQ_GP_7YR_ANN_GROWTH" hidden="1">"c517"</definedName>
    <definedName name="IQ_GPPE" hidden="1">"c518"</definedName>
    <definedName name="IQ_GROSS_AH_EARNED" hidden="1">"c2742"</definedName>
    <definedName name="IQ_GROSS_CLAIM_EXP_INCUR" hidden="1">"c2755"</definedName>
    <definedName name="IQ_GROSS_CLAIM_EXP_PAID" hidden="1">"c2758"</definedName>
    <definedName name="IQ_GROSS_CLAIM_EXP_RES" hidden="1">"c2752"</definedName>
    <definedName name="IQ_GROSS_DIVID" hidden="1">"c1446"</definedName>
    <definedName name="IQ_GROSS_EARNED" hidden="1">"c2732"</definedName>
    <definedName name="IQ_GROSS_LIFE_EARNED" hidden="1">"c2737"</definedName>
    <definedName name="IQ_GROSS_LIFE_IN_FORCE" hidden="1">"c2767"</definedName>
    <definedName name="IQ_GROSS_LOANS" hidden="1">"c521"</definedName>
    <definedName name="IQ_GROSS_LOANS_10YR_ANN_GROWTH" hidden="1">"c522"</definedName>
    <definedName name="IQ_GROSS_LOANS_1YR_ANN_GROWTH" hidden="1">"c523"</definedName>
    <definedName name="IQ_GROSS_LOANS_2YR_ANN_GROWTH" hidden="1">"c524"</definedName>
    <definedName name="IQ_GROSS_LOANS_3YR_ANN_GROWTH" hidden="1">"c525"</definedName>
    <definedName name="IQ_GROSS_LOANS_5YR_ANN_GROWTH" hidden="1">"c526"</definedName>
    <definedName name="IQ_GROSS_LOANS_7YR_ANN_GROWTH" hidden="1">"c527"</definedName>
    <definedName name="IQ_GROSS_LOANS_TOTAL_DEPOSITS" hidden="1">"c528"</definedName>
    <definedName name="IQ_GROSS_MARGIN" hidden="1">"c529"</definedName>
    <definedName name="IQ_GROSS_PC_EARNED" hidden="1">"c2747"</definedName>
    <definedName name="IQ_GROSS_PROFIT" hidden="1">"c1378"</definedName>
    <definedName name="IQ_GROSS_SPRD" hidden="1">"c2155"</definedName>
    <definedName name="IQ_GROSS_WRITTEN" hidden="1">"c2726"</definedName>
    <definedName name="IQ_GW" hidden="1">"c530"</definedName>
    <definedName name="IQ_GW_AMORT_BR" hidden="1">"c532"</definedName>
    <definedName name="IQ_GW_AMORT_FIN" hidden="1">"c540"</definedName>
    <definedName name="IQ_GW_AMORT_INS" hidden="1">"c541"</definedName>
    <definedName name="IQ_GW_AMORT_REIT" hidden="1">"c542"</definedName>
    <definedName name="IQ_GW_AMORT_UTI" hidden="1">"c543"</definedName>
    <definedName name="IQ_GW_INTAN_AMORT" hidden="1">"c1469"</definedName>
    <definedName name="IQ_GW_INTAN_AMORT_BNK" hidden="1">"c544"</definedName>
    <definedName name="IQ_GW_INTAN_AMORT_BR" hidden="1">"c1470"</definedName>
    <definedName name="IQ_GW_INTAN_AMORT_CF" hidden="1">"c1471"</definedName>
    <definedName name="IQ_GW_INTAN_AMORT_CF_BNK" hidden="1">"c1472"</definedName>
    <definedName name="IQ_GW_INTAN_AMORT_CF_BR" hidden="1">"c1473"</definedName>
    <definedName name="IQ_GW_INTAN_AMORT_CF_FIN" hidden="1">"c1474"</definedName>
    <definedName name="IQ_GW_INTAN_AMORT_CF_INS" hidden="1">"c1475"</definedName>
    <definedName name="IQ_GW_INTAN_AMORT_CF_REIT" hidden="1">"c1476"</definedName>
    <definedName name="IQ_GW_INTAN_AMORT_CF_UTI" hidden="1">"c1477"</definedName>
    <definedName name="IQ_GW_INTAN_AMORT_FIN" hidden="1">"c1478"</definedName>
    <definedName name="IQ_GW_INTAN_AMORT_INS" hidden="1">"c1479"</definedName>
    <definedName name="IQ_GW_INTAN_AMORT_REIT" hidden="1">"c1480"</definedName>
    <definedName name="IQ_GW_INTAN_AMORT_UTI" hidden="1">"c1481"</definedName>
    <definedName name="IQ_HIGH_TARGET_PRICE" hidden="1">"c1651"</definedName>
    <definedName name="IQ_HIGHPRICE" hidden="1">"c545"</definedName>
    <definedName name="IQ_HOMEOWNERS_WRITTEN" hidden="1">"c546"</definedName>
    <definedName name="IQ_IMPAIR_OIL" hidden="1">"c547"</definedName>
    <definedName name="IQ_IMPAIRMENT_GW" hidden="1">"c548"</definedName>
    <definedName name="IQ_IMPUT_OPER_LEASE_DEPR" hidden="1">"c2987"</definedName>
    <definedName name="IQ_IMPUT_OPER_LEASE_INT_EXP" hidden="1">"c2986"</definedName>
    <definedName name="IQ_INC_AFTER_TAX" hidden="1">"c1598"</definedName>
    <definedName name="IQ_INC_AVAIL_EXCL" hidden="1">"c1395"</definedName>
    <definedName name="IQ_INC_AVAIL_INCL" hidden="1">"c1396"</definedName>
    <definedName name="IQ_INC_BEFORE_TAX" hidden="1">"c1375"</definedName>
    <definedName name="IQ_INC_EQUITY" hidden="1">"c549"</definedName>
    <definedName name="IQ_INC_EQUITY_BR" hidden="1">"c550"</definedName>
    <definedName name="IQ_INC_EQUITY_CF" hidden="1">"c551"</definedName>
    <definedName name="IQ_INC_EQUITY_FIN" hidden="1">"c552"</definedName>
    <definedName name="IQ_INC_EQUITY_INS" hidden="1">"c553"</definedName>
    <definedName name="IQ_INC_EQUITY_REC_BNK" hidden="1">"c554"</definedName>
    <definedName name="IQ_INC_EQUITY_REIT" hidden="1">"c555"</definedName>
    <definedName name="IQ_INC_EQUITY_REV_BNK" hidden="1">"c556"</definedName>
    <definedName name="IQ_INC_EQUITY_UTI" hidden="1">"c557"</definedName>
    <definedName name="IQ_INC_REAL_ESTATE_REC" hidden="1">"c558"</definedName>
    <definedName name="IQ_INC_REAL_ESTATE_REV" hidden="1">"c559"</definedName>
    <definedName name="IQ_INC_TAX" hidden="1">"c560"</definedName>
    <definedName name="IQ_INC_TAX_EXCL" hidden="1">"c1599"</definedName>
    <definedName name="IQ_INC_TAX_PAY_CURRENT" hidden="1">"c561"</definedName>
    <definedName name="IQ_INC_TRADE_ACT" hidden="1">"c562"</definedName>
    <definedName name="IQ_INS_ANNUITY_LIAB" hidden="1">"c563"</definedName>
    <definedName name="IQ_INS_ANNUITY_REV" hidden="1">"c2788"</definedName>
    <definedName name="IQ_INS_DIV_EXP" hidden="1">"c564"</definedName>
    <definedName name="IQ_INS_DIV_REV" hidden="1">"c565"</definedName>
    <definedName name="IQ_INS_IN_FORCE" hidden="1">"c566"</definedName>
    <definedName name="IQ_INS_LIAB" hidden="1">"c567"</definedName>
    <definedName name="IQ_INS_POLICY_EXP" hidden="1">"c568"</definedName>
    <definedName name="IQ_INS_REV" hidden="1">"c569"</definedName>
    <definedName name="IQ_INS_SETTLE" hidden="1">"c570"</definedName>
    <definedName name="IQ_INS_SETTLE_BNK" hidden="1">"c571"</definedName>
    <definedName name="IQ_INS_SETTLE_BR" hidden="1">"c572"</definedName>
    <definedName name="IQ_INS_SETTLE_FIN" hidden="1">"c573"</definedName>
    <definedName name="IQ_INS_SETTLE_INS" hidden="1">"c574"</definedName>
    <definedName name="IQ_INS_SETTLE_REIT" hidden="1">"c575"</definedName>
    <definedName name="IQ_INS_SETTLE_UTI" hidden="1">"c576"</definedName>
    <definedName name="IQ_INSIDER_3MTH_BOUGHT_PCT" hidden="1">"c1534"</definedName>
    <definedName name="IQ_INSIDER_3MTH_NET_PCT" hidden="1">"c1535"</definedName>
    <definedName name="IQ_INSIDER_3MTH_SOLD_PCT" hidden="1">"c1533"</definedName>
    <definedName name="IQ_INSIDER_6MTH_BOUGHT_PCT" hidden="1">"c1537"</definedName>
    <definedName name="IQ_INSIDER_6MTH_NET_PCT" hidden="1">"c1538"</definedName>
    <definedName name="IQ_INSIDER_6MTH_SOLD_PCT" hidden="1">"c1536"</definedName>
    <definedName name="IQ_INSIDER_OVER_TOTAL" hidden="1">"c1581"</definedName>
    <definedName name="IQ_INSIDER_OWNER" hidden="1">"c577"</definedName>
    <definedName name="IQ_INSIDER_PERCENT" hidden="1">"c578"</definedName>
    <definedName name="IQ_INSIDER_SHARES" hidden="1">"c579"</definedName>
    <definedName name="IQ_INSTITUTIONAL_OVER_TOTAL" hidden="1">"c1580"</definedName>
    <definedName name="IQ_INSTITUTIONAL_OWNER" hidden="1">"c580"</definedName>
    <definedName name="IQ_INSTITUTIONAL_PERCENT" hidden="1">"c581"</definedName>
    <definedName name="IQ_INSTITUTIONAL_SHARES" hidden="1">"c582"</definedName>
    <definedName name="IQ_INSUR_RECEIV" hidden="1">"c1600"</definedName>
    <definedName name="IQ_INT_BORROW" hidden="1">"c583"</definedName>
    <definedName name="IQ_INT_DEPOSITS" hidden="1">"c584"</definedName>
    <definedName name="IQ_INT_DIV_INC" hidden="1">"c585"</definedName>
    <definedName name="IQ_INT_EXP_BR" hidden="1">"c586"</definedName>
    <definedName name="IQ_INT_EXP_COVERAGE" hidden="1">"c587"</definedName>
    <definedName name="IQ_INT_EXP_FIN" hidden="1">"c588"</definedName>
    <definedName name="IQ_INT_EXP_INCL_CAP" hidden="1">"c2988"</definedName>
    <definedName name="IQ_INT_EXP_INS" hidden="1">"c589"</definedName>
    <definedName name="IQ_INT_EXP_LTD" hidden="1">"c2086"</definedName>
    <definedName name="IQ_INT_EXP_REIT" hidden="1">"c590"</definedName>
    <definedName name="IQ_INT_EXP_TOTAL" hidden="1">"c591"</definedName>
    <definedName name="IQ_INT_EXP_UTI" hidden="1">"c592"</definedName>
    <definedName name="IQ_INT_INC_BR" hidden="1">"c593"</definedName>
    <definedName name="IQ_INT_INC_FIN" hidden="1">"c594"</definedName>
    <definedName name="IQ_INT_INC_INVEST" hidden="1">"c595"</definedName>
    <definedName name="IQ_INT_INC_LOANS" hidden="1">"c596"</definedName>
    <definedName name="IQ_INT_INC_REIT" hidden="1">"c597"</definedName>
    <definedName name="IQ_INT_INC_TOTAL" hidden="1">"c598"</definedName>
    <definedName name="IQ_INT_INC_UTI" hidden="1">"c599"</definedName>
    <definedName name="IQ_INT_INV_INC" hidden="1">"c600"</definedName>
    <definedName name="IQ_INT_INV_INC_REIT" hidden="1">"c601"</definedName>
    <definedName name="IQ_INT_INV_INC_UTI" hidden="1">"c602"</definedName>
    <definedName name="IQ_INT_ON_BORROWING_COVERAGE" hidden="1">"c603"</definedName>
    <definedName name="IQ_INT_RATE_SPREAD" hidden="1">"c604"</definedName>
    <definedName name="IQ_INTANGIBLES_NET" hidden="1">"c1407"</definedName>
    <definedName name="IQ_INTEREST_CASH_DEPOSITS" hidden="1">"c2255"</definedName>
    <definedName name="IQ_INTEREST_EXP" hidden="1">"c618"</definedName>
    <definedName name="IQ_INTEREST_EXP_NET" hidden="1">"c1450"</definedName>
    <definedName name="IQ_INTEREST_EXP_NON" hidden="1">"c1383"</definedName>
    <definedName name="IQ_INTEREST_EXP_SUPPL" hidden="1">"c1460"</definedName>
    <definedName name="IQ_INTEREST_INC" hidden="1">"c1393"</definedName>
    <definedName name="IQ_INTEREST_INC_NON" hidden="1">"c1384"</definedName>
    <definedName name="IQ_INTEREST_INVEST_INC" hidden="1">"c619"</definedName>
    <definedName name="IQ_INV_10YR_ANN_GROWTH" hidden="1">"c1930"</definedName>
    <definedName name="IQ_INV_1YR_ANN_GROWTH" hidden="1">"c1925"</definedName>
    <definedName name="IQ_INV_2YR_ANN_GROWTH" hidden="1">"c1926"</definedName>
    <definedName name="IQ_INV_3YR_ANN_GROWTH" hidden="1">"c1927"</definedName>
    <definedName name="IQ_INV_5YR_ANN_GROWTH" hidden="1">"c1928"</definedName>
    <definedName name="IQ_INV_7YR_ANN_GROWTH" hidden="1">"c1929"</definedName>
    <definedName name="IQ_INV_BANKING_FEE" hidden="1">"c620"</definedName>
    <definedName name="IQ_INV_METHOD" hidden="1">"c621"</definedName>
    <definedName name="IQ_INVENTORY" hidden="1">"c622"</definedName>
    <definedName name="IQ_INVENTORY_TURNS" hidden="1">"c623"</definedName>
    <definedName name="IQ_INVENTORY_UTI" hidden="1">"c624"</definedName>
    <definedName name="IQ_INVEST_DEBT" hidden="1">"c625"</definedName>
    <definedName name="IQ_INVEST_EQUITY_PREF" hidden="1">"c626"</definedName>
    <definedName name="IQ_INVEST_FHLB" hidden="1">"c627"</definedName>
    <definedName name="IQ_INVEST_LOANS_CF" hidden="1">"c628"</definedName>
    <definedName name="IQ_INVEST_LOANS_CF_BNK" hidden="1">"c629"</definedName>
    <definedName name="IQ_INVEST_LOANS_CF_BR" hidden="1">"c630"</definedName>
    <definedName name="IQ_INVEST_LOANS_CF_FIN" hidden="1">"c631"</definedName>
    <definedName name="IQ_INVEST_LOANS_CF_INS" hidden="1">"c632"</definedName>
    <definedName name="IQ_INVEST_LOANS_CF_REIT" hidden="1">"c633"</definedName>
    <definedName name="IQ_INVEST_LOANS_CF_UTI" hidden="1">"c634"</definedName>
    <definedName name="IQ_INVEST_REAL_ESTATE" hidden="1">"c635"</definedName>
    <definedName name="IQ_INVEST_SECURITY" hidden="1">"c636"</definedName>
    <definedName name="IQ_INVEST_SECURITY_CF" hidden="1">"c637"</definedName>
    <definedName name="IQ_INVEST_SECURITY_CF_BNK" hidden="1">"c638"</definedName>
    <definedName name="IQ_INVEST_SECURITY_CF_BR" hidden="1">"c639"</definedName>
    <definedName name="IQ_INVEST_SECURITY_CF_FIN" hidden="1">"c640"</definedName>
    <definedName name="IQ_INVEST_SECURITY_CF_INS" hidden="1">"c641"</definedName>
    <definedName name="IQ_INVEST_SECURITY_CF_REIT" hidden="1">"c642"</definedName>
    <definedName name="IQ_INVEST_SECURITY_CF_UTI" hidden="1">"c643"</definedName>
    <definedName name="IQ_IPRD" hidden="1">"c644"</definedName>
    <definedName name="IQ_ISS_DEBT_NET" hidden="1">"c1391"</definedName>
    <definedName name="IQ_ISS_STOCK_NET" hidden="1">"c1601"</definedName>
    <definedName name="IQ_ISSUE_CURRENCY" hidden="1">"c2156"</definedName>
    <definedName name="IQ_ISSUE_NAME" hidden="1">"c2142"</definedName>
    <definedName name="IQ_ISSUER" hidden="1">"c2143"</definedName>
    <definedName name="IQ_ISSUER_CIQID" hidden="1">"c2258"</definedName>
    <definedName name="IQ_ISSUER_PARENT" hidden="1">"c2144"</definedName>
    <definedName name="IQ_ISSUER_PARENT_CIQID" hidden="1">"c2260"</definedName>
    <definedName name="IQ_ISSUER_PARENT_TICKER" hidden="1">"c2259"</definedName>
    <definedName name="IQ_ISSUER_TICKER" hidden="1">"c2252"</definedName>
    <definedName name="IQ_JR_SUB_DEBT" hidden="1">"c2534"</definedName>
    <definedName name="IQ_JR_SUB_DEBT_EBITDA" hidden="1">"c2560"</definedName>
    <definedName name="IQ_JR_SUB_DEBT_EBITDA_CAPEX" hidden="1">"c2561"</definedName>
    <definedName name="IQ_JR_SUB_DEBT_PCT" hidden="1">"c2535"</definedName>
    <definedName name="IQ_LAND" hidden="1">"c645"</definedName>
    <definedName name="IQ_LAST_PMT_DATE" hidden="1">"c2188"</definedName>
    <definedName name="IQ_LAST_SPLIT_DATE" hidden="1">"c2095"</definedName>
    <definedName name="IQ_LAST_SPLIT_FACTOR" hidden="1">"c2093"</definedName>
    <definedName name="IQ_LASTPRICINGDATE" hidden="1">"c3051"</definedName>
    <definedName name="IQ_LASTSALEPRICE" hidden="1">"c646"</definedName>
    <definedName name="IQ_LASTSALEPRICE_DATE" hidden="1">"c2109"</definedName>
    <definedName name="IQ_LATESTK" hidden="1">1000</definedName>
    <definedName name="IQ_LATESTQ" hidden="1">500</definedName>
    <definedName name="IQ_LEGAL_SETTLE" hidden="1">"c647"</definedName>
    <definedName name="IQ_LEGAL_SETTLE_BNK" hidden="1">"c648"</definedName>
    <definedName name="IQ_LEGAL_SETTLE_BR" hidden="1">"c649"</definedName>
    <definedName name="IQ_LEGAL_SETTLE_FIN" hidden="1">"c650"</definedName>
    <definedName name="IQ_LEGAL_SETTLE_INS" hidden="1">"c651"</definedName>
    <definedName name="IQ_LEGAL_SETTLE_REIT" hidden="1">"c652"</definedName>
    <definedName name="IQ_LEGAL_SETTLE_UTI" hidden="1">"c653"</definedName>
    <definedName name="IQ_LEVERAGE_RATIO" hidden="1">"c654"</definedName>
    <definedName name="IQ_LEVERED_FCF" hidden="1">"c1907"</definedName>
    <definedName name="IQ_LFCF_10YR_ANN_GROWTH" hidden="1">"c1942"</definedName>
    <definedName name="IQ_LFCF_1YR_ANN_GROWTH" hidden="1">"c1937"</definedName>
    <definedName name="IQ_LFCF_2YR_ANN_GROWTH" hidden="1">"c1938"</definedName>
    <definedName name="IQ_LFCF_3YR_ANN_GROWTH" hidden="1">"c1939"</definedName>
    <definedName name="IQ_LFCF_5YR_ANN_GROWTH" hidden="1">"c1940"</definedName>
    <definedName name="IQ_LFCF_7YR_ANN_GROWTH" hidden="1">"c1941"</definedName>
    <definedName name="IQ_LFCF_MARGIN" hidden="1">"c1961"</definedName>
    <definedName name="IQ_LH_STATUTORY_SURPLUS" hidden="1">"c2771"</definedName>
    <definedName name="IQ_LICENSED_POPS" hidden="1">"c2123"</definedName>
    <definedName name="IQ_LIFE_EARNED" hidden="1">"c2739"</definedName>
    <definedName name="IQ_LIFOR" hidden="1">"c655"</definedName>
    <definedName name="IQ_LL" hidden="1">"c656"</definedName>
    <definedName name="IQ_LOAN_LEASE_RECEIV" hidden="1">"c657"</definedName>
    <definedName name="IQ_LOAN_LOSS" hidden="1">"c1386"</definedName>
    <definedName name="IQ_LOAN_SERVICE_REV" hidden="1">"c658"</definedName>
    <definedName name="IQ_LOANS_CF" hidden="1">"c659"</definedName>
    <definedName name="IQ_LOANS_CF_BNK" hidden="1">"c660"</definedName>
    <definedName name="IQ_LOANS_CF_BR" hidden="1">"c661"</definedName>
    <definedName name="IQ_LOANS_CF_FIN" hidden="1">"c662"</definedName>
    <definedName name="IQ_LOANS_CF_INS" hidden="1">"c663"</definedName>
    <definedName name="IQ_LOANS_CF_REIT" hidden="1">"c664"</definedName>
    <definedName name="IQ_LOANS_CF_UTI" hidden="1">"c665"</definedName>
    <definedName name="IQ_LOANS_FOR_SALE" hidden="1">"c666"</definedName>
    <definedName name="IQ_LOANS_PAST_DUE" hidden="1">"c667"</definedName>
    <definedName name="IQ_LOANS_RECEIV_CURRENT" hidden="1">"c668"</definedName>
    <definedName name="IQ_LOANS_RECEIV_LT" hidden="1">"c669"</definedName>
    <definedName name="IQ_LOANS_RECEIV_LT_UTI" hidden="1">"c670"</definedName>
    <definedName name="IQ_LONG_TERM_DEBT" hidden="1">"c1387"</definedName>
    <definedName name="IQ_LONG_TERM_DEBT_OVER_TOTAL_CAP" hidden="1">"c1388"</definedName>
    <definedName name="IQ_LONG_TERM_GROWTH" hidden="1">"c671"</definedName>
    <definedName name="IQ_LONG_TERM_INV" hidden="1">"c1389"</definedName>
    <definedName name="IQ_LOSS_LOSS_EXP" hidden="1">"c672"</definedName>
    <definedName name="IQ_LOSS_TO_NET_EARNED" hidden="1">"c2751"</definedName>
    <definedName name="IQ_LOW_TARGET_PRICE" hidden="1">"c1652"</definedName>
    <definedName name="IQ_LOWPRICE" hidden="1">"c673"</definedName>
    <definedName name="IQ_LT_DEBT" hidden="1">"c674"</definedName>
    <definedName name="IQ_LT_DEBT_BNK" hidden="1">"c675"</definedName>
    <definedName name="IQ_LT_DEBT_BR" hidden="1">"c676"</definedName>
    <definedName name="IQ_LT_DEBT_CAPITAL" hidden="1">"c677"</definedName>
    <definedName name="IQ_LT_DEBT_CAPITAL_LEASES" hidden="1">"c2542"</definedName>
    <definedName name="IQ_LT_DEBT_CAPITAL_LEASES_PCT" hidden="1">"c2543"</definedName>
    <definedName name="IQ_LT_DEBT_EQUITY" hidden="1">"c678"</definedName>
    <definedName name="IQ_LT_DEBT_FIN" hidden="1">"c679"</definedName>
    <definedName name="IQ_LT_DEBT_INS" hidden="1">"c680"</definedName>
    <definedName name="IQ_LT_DEBT_ISSUED" hidden="1">"c681"</definedName>
    <definedName name="IQ_LT_DEBT_ISSUED_BNK" hidden="1">"c682"</definedName>
    <definedName name="IQ_LT_DEBT_ISSUED_BR" hidden="1">"c683"</definedName>
    <definedName name="IQ_LT_DEBT_ISSUED_FIN" hidden="1">"c684"</definedName>
    <definedName name="IQ_LT_DEBT_ISSUED_INS" hidden="1">"c685"</definedName>
    <definedName name="IQ_LT_DEBT_ISSUED_REIT" hidden="1">"c686"</definedName>
    <definedName name="IQ_LT_DEBT_ISSUED_UTI" hidden="1">"c687"</definedName>
    <definedName name="IQ_LT_DEBT_REIT" hidden="1">"c688"</definedName>
    <definedName name="IQ_LT_DEBT_REPAID" hidden="1">"c689"</definedName>
    <definedName name="IQ_LT_DEBT_REPAID_BNK" hidden="1">"c690"</definedName>
    <definedName name="IQ_LT_DEBT_REPAID_BR" hidden="1">"c691"</definedName>
    <definedName name="IQ_LT_DEBT_REPAID_FIN" hidden="1">"c692"</definedName>
    <definedName name="IQ_LT_DEBT_REPAID_INS" hidden="1">"c693"</definedName>
    <definedName name="IQ_LT_DEBT_REPAID_REIT" hidden="1">"c694"</definedName>
    <definedName name="IQ_LT_DEBT_REPAID_UTI" hidden="1">"c695"</definedName>
    <definedName name="IQ_LT_DEBT_UTI" hidden="1">"c696"</definedName>
    <definedName name="IQ_LT_INVEST" hidden="1">"c697"</definedName>
    <definedName name="IQ_LT_INVEST_BR" hidden="1">"c698"</definedName>
    <definedName name="IQ_LT_INVEST_FIN" hidden="1">"c699"</definedName>
    <definedName name="IQ_LT_INVEST_REIT" hidden="1">"c700"</definedName>
    <definedName name="IQ_LT_INVEST_UTI" hidden="1">"c701"</definedName>
    <definedName name="IQ_LT_NOTE_RECEIV" hidden="1">"c1602"</definedName>
    <definedName name="IQ_LTD_DUE_AFTER_FIVE" hidden="1">"c704"</definedName>
    <definedName name="IQ_LTD_DUE_CY" hidden="1">"c705"</definedName>
    <definedName name="IQ_LTD_DUE_CY1" hidden="1">"c706"</definedName>
    <definedName name="IQ_LTD_DUE_CY2" hidden="1">"c707"</definedName>
    <definedName name="IQ_LTD_DUE_CY3" hidden="1">"c708"</definedName>
    <definedName name="IQ_LTD_DUE_CY4" hidden="1">"c709"</definedName>
    <definedName name="IQ_LTD_DUE_NEXT_FIVE" hidden="1">"c710"</definedName>
    <definedName name="IQ_LTM" hidden="1">2000</definedName>
    <definedName name="IQ_LTM_REVENUE_OVER_EMPLOYEES" hidden="1">"c1437"</definedName>
    <definedName name="IQ_MACHINERY" hidden="1">"c711"</definedName>
    <definedName name="IQ_MAINT_CAPEX" hidden="1">"c2947"</definedName>
    <definedName name="IQ_MAINT_REPAIR" hidden="1">"c2087"</definedName>
    <definedName name="IQ_MAKE_WHOLE_END_DATE" hidden="1">"c2493"</definedName>
    <definedName name="IQ_MAKE_WHOLE_SPREAD" hidden="1">"c2494"</definedName>
    <definedName name="IQ_MAKE_WHOLE_START_DATE" hidden="1">"c2492"</definedName>
    <definedName name="IQ_MARKET_CAP_LFCF" hidden="1">"c2209"</definedName>
    <definedName name="IQ_MARKETCAP" hidden="1">"c712"</definedName>
    <definedName name="IQ_MARKETING" hidden="1">"c2239"</definedName>
    <definedName name="IQ_MATURITY_DATE" hidden="1">"c2146"</definedName>
    <definedName name="IQ_MC_RATIO" hidden="1">"c2783"</definedName>
    <definedName name="IQ_MC_STATUTORY_SURPLUS" hidden="1">"c2772"</definedName>
    <definedName name="IQ_MEDIAN_TARGET_PRICE" hidden="1">"c1650"</definedName>
    <definedName name="IQ_MERGER" hidden="1">"c713"</definedName>
    <definedName name="IQ_MERGER_BNK" hidden="1">"c714"</definedName>
    <definedName name="IQ_MERGER_BR" hidden="1">"c715"</definedName>
    <definedName name="IQ_MERGER_FIN" hidden="1">"c716"</definedName>
    <definedName name="IQ_MERGER_INS" hidden="1">"c717"</definedName>
    <definedName name="IQ_MERGER_REIT" hidden="1">"c718"</definedName>
    <definedName name="IQ_MERGER_RESTRUCTURE" hidden="1">"c719"</definedName>
    <definedName name="IQ_MERGER_RESTRUCTURE_BNK" hidden="1">"c720"</definedName>
    <definedName name="IQ_MERGER_RESTRUCTURE_BR" hidden="1">"c721"</definedName>
    <definedName name="IQ_MERGER_RESTRUCTURE_FIN" hidden="1">"c722"</definedName>
    <definedName name="IQ_MERGER_RESTRUCTURE_INS" hidden="1">"c723"</definedName>
    <definedName name="IQ_MERGER_RESTRUCTURE_REIT" hidden="1">"c724"</definedName>
    <definedName name="IQ_MERGER_RESTRUCTURE_UTI" hidden="1">"c725"</definedName>
    <definedName name="IQ_MERGER_UTI" hidden="1">"c726"</definedName>
    <definedName name="IQ_MINORITY_INTEREST" hidden="1">"c727"</definedName>
    <definedName name="IQ_MINORITY_INTEREST_BNK" hidden="1">"c728"</definedName>
    <definedName name="IQ_MINORITY_INTEREST_BR" hidden="1">"c729"</definedName>
    <definedName name="IQ_MINORITY_INTEREST_CF" hidden="1">"c730"</definedName>
    <definedName name="IQ_MINORITY_INTEREST_FIN" hidden="1">"c731"</definedName>
    <definedName name="IQ_MINORITY_INTEREST_INS" hidden="1">"c732"</definedName>
    <definedName name="IQ_MINORITY_INTEREST_IS" hidden="1">"c733"</definedName>
    <definedName name="IQ_MINORITY_INTEREST_REIT" hidden="1">"c734"</definedName>
    <definedName name="IQ_MINORITY_INTEREST_TOTAL" hidden="1">"c1905"</definedName>
    <definedName name="IQ_MINORITY_INTEREST_UTI" hidden="1">"c735"</definedName>
    <definedName name="IQ_MISC_ADJUST_CF" hidden="1">"c736"</definedName>
    <definedName name="IQ_MISC_EARN_ADJ" hidden="1">"c1603"</definedName>
    <definedName name="IQ_MKTCAP_EBT_EXCL" hidden="1">"c737"</definedName>
    <definedName name="IQ_MKTCAP_EBT_EXCL_AVG" hidden="1">"c738"</definedName>
    <definedName name="IQ_MKTCAP_EBT_INCL_AVG" hidden="1">"c739"</definedName>
    <definedName name="IQ_MKTCAP_TOTAL_REV" hidden="1">"c740"</definedName>
    <definedName name="IQ_MKTCAP_TOTAL_REV_AVG" hidden="1">"c741"</definedName>
    <definedName name="IQ_MKTCAP_TOTAL_REV_FWD" hidden="1">"c742"</definedName>
    <definedName name="IQ_MM_ACCOUNT" hidden="1">"c743"</definedName>
    <definedName name="IQ_MORT_BANK_ACT" hidden="1">"c744"</definedName>
    <definedName name="IQ_MORT_BANKING_FEE" hidden="1">"c745"</definedName>
    <definedName name="IQ_MORT_INT_INC" hidden="1">"c746"</definedName>
    <definedName name="IQ_MORT_LOANS" hidden="1">"c747"</definedName>
    <definedName name="IQ_MORT_SECURITY" hidden="1">"c748"</definedName>
    <definedName name="IQ_MORTGAGE_SERV_RIGHTS" hidden="1">"c2242"</definedName>
    <definedName name="IQ_NAV_ACT_OR_EST" hidden="1">"c2225"</definedName>
    <definedName name="IQ_NAV_EST" hidden="1">"c1751"</definedName>
    <definedName name="IQ_NAV_HIGH_EST" hidden="1">"c1753"</definedName>
    <definedName name="IQ_NAV_LOW_EST" hidden="1">"c1754"</definedName>
    <definedName name="IQ_NAV_MEDIAN_EST" hidden="1">"c1752"</definedName>
    <definedName name="IQ_NAV_NUM_EST" hidden="1">"c1755"</definedName>
    <definedName name="IQ_NAV_STDDEV_EST" hidden="1">"c1756"</definedName>
    <definedName name="IQ_NET_CHANGE" hidden="1">"c749"</definedName>
    <definedName name="IQ_NET_CLAIM_EXP_INCUR" hidden="1">"c2757"</definedName>
    <definedName name="IQ_NET_CLAIM_EXP_INCUR_CY" hidden="1">"c2761"</definedName>
    <definedName name="IQ_NET_CLAIM_EXP_INCUR_PY" hidden="1">"c2762"</definedName>
    <definedName name="IQ_NET_CLAIM_EXP_PAID" hidden="1">"c2760"</definedName>
    <definedName name="IQ_NET_CLAIM_EXP_PAID_CY" hidden="1">"c2763"</definedName>
    <definedName name="IQ_NET_CLAIM_EXP_PAID_PY" hidden="1">"c2764"</definedName>
    <definedName name="IQ_NET_CLAIM_EXP_RES" hidden="1">"c2754"</definedName>
    <definedName name="IQ_NET_DEBT" hidden="1">"c1584"</definedName>
    <definedName name="IQ_NET_DEBT_EBITDA" hidden="1">"c750"</definedName>
    <definedName name="IQ_NET_DEBT_EBITDA_CAPEX" hidden="1">"c2949"</definedName>
    <definedName name="IQ_NET_DEBT_ISSUED" hidden="1">"c751"</definedName>
    <definedName name="IQ_NET_DEBT_ISSUED_BNK" hidden="1">"c752"</definedName>
    <definedName name="IQ_NET_DEBT_ISSUED_BR" hidden="1">"c753"</definedName>
    <definedName name="IQ_NET_DEBT_ISSUED_FIN" hidden="1">"c754"</definedName>
    <definedName name="IQ_NET_DEBT_ISSUED_INS" hidden="1">"c755"</definedName>
    <definedName name="IQ_NET_DEBT_ISSUED_REIT" hidden="1">"c756"</definedName>
    <definedName name="IQ_NET_DEBT_ISSUED_UTI" hidden="1">"c757"</definedName>
    <definedName name="IQ_NET_EARNED" hidden="1">"c2734"</definedName>
    <definedName name="IQ_NET_INC" hidden="1">"c1394"</definedName>
    <definedName name="IQ_NET_INC_BEFORE" hidden="1">"c1368"</definedName>
    <definedName name="IQ_NET_INC_CF" hidden="1">"c1397"</definedName>
    <definedName name="IQ_NET_INC_MARGIN" hidden="1">"c1398"</definedName>
    <definedName name="IQ_NET_INT_INC_10YR_ANN_GROWTH" hidden="1">"c758"</definedName>
    <definedName name="IQ_NET_INT_INC_1YR_ANN_GROWTH" hidden="1">"c759"</definedName>
    <definedName name="IQ_NET_INT_INC_2YR_ANN_GROWTH" hidden="1">"c760"</definedName>
    <definedName name="IQ_NET_INT_INC_3YR_ANN_GROWTH" hidden="1">"c761"</definedName>
    <definedName name="IQ_NET_INT_INC_5YR_ANN_GROWTH" hidden="1">"c762"</definedName>
    <definedName name="IQ_NET_INT_INC_7YR_ANN_GROWTH" hidden="1">"c763"</definedName>
    <definedName name="IQ_NET_INT_INC_BNK" hidden="1">"c764"</definedName>
    <definedName name="IQ_NET_INT_INC_BR" hidden="1">"c765"</definedName>
    <definedName name="IQ_NET_INT_INC_FIN" hidden="1">"c766"</definedName>
    <definedName name="IQ_NET_INT_INC_TOTAL_REV" hidden="1">"c767"</definedName>
    <definedName name="IQ_NET_INT_MARGIN" hidden="1">"c768"</definedName>
    <definedName name="IQ_NET_INTEREST_EXP" hidden="1">"c769"</definedName>
    <definedName name="IQ_NET_INTEREST_EXP_REIT" hidden="1">"c770"</definedName>
    <definedName name="IQ_NET_INTEREST_EXP_UTI" hidden="1">"c771"</definedName>
    <definedName name="IQ_NET_INTEREST_INC" hidden="1">"c1392"</definedName>
    <definedName name="IQ_NET_INTEREST_INC_AFTER_LL" hidden="1">"c1604"</definedName>
    <definedName name="IQ_NET_LIFE_INS_IN_FORCE" hidden="1">"c2769"</definedName>
    <definedName name="IQ_NET_LOANS" hidden="1">"c772"</definedName>
    <definedName name="IQ_NET_LOANS_10YR_ANN_GROWTH" hidden="1">"c773"</definedName>
    <definedName name="IQ_NET_LOANS_1YR_ANN_GROWTH" hidden="1">"c774"</definedName>
    <definedName name="IQ_NET_LOANS_2YR_ANN_GROWTH" hidden="1">"c775"</definedName>
    <definedName name="IQ_NET_LOANS_3YR_ANN_GROWTH" hidden="1">"c776"</definedName>
    <definedName name="IQ_NET_LOANS_5YR_ANN_GROWTH" hidden="1">"c777"</definedName>
    <definedName name="IQ_NET_LOANS_7YR_ANN_GROWTH" hidden="1">"c778"</definedName>
    <definedName name="IQ_NET_LOANS_TOTAL_DEPOSITS" hidden="1">"c779"</definedName>
    <definedName name="IQ_NET_RENTAL_EXP_FN" hidden="1">"c780"</definedName>
    <definedName name="IQ_NET_TO_GROSS_EARNED" hidden="1">"c2750"</definedName>
    <definedName name="IQ_NET_TO_GROSS_WRITTEN" hidden="1">"c2729"</definedName>
    <definedName name="IQ_NET_WRITTEN" hidden="1">"c2728"</definedName>
    <definedName name="IQ_NEW_PREM" hidden="1">"c2785"</definedName>
    <definedName name="IQ_NEXT_CALL_DATE" hidden="1">"c2198"</definedName>
    <definedName name="IQ_NEXT_CALL_PRICE" hidden="1">"c2199"</definedName>
    <definedName name="IQ_NEXT_INT_DATE" hidden="1">"c2187"</definedName>
    <definedName name="IQ_NEXT_PUT_DATE" hidden="1">"c2200"</definedName>
    <definedName name="IQ_NEXT_PUT_PRICE" hidden="1">"c2201"</definedName>
    <definedName name="IQ_NEXT_SINK_FUND_AMOUNT" hidden="1">"c2490"</definedName>
    <definedName name="IQ_NEXT_SINK_FUND_DATE" hidden="1">"c2489"</definedName>
    <definedName name="IQ_NEXT_SINK_FUND_PRICE" hidden="1">"c2491"</definedName>
    <definedName name="IQ_NI" hidden="1">"c781"</definedName>
    <definedName name="IQ_NI_10YR_ANN_GROWTH" hidden="1">"c782"</definedName>
    <definedName name="IQ_NI_1YR_ANN_GROWTH" hidden="1">"c783"</definedName>
    <definedName name="IQ_NI_2YR_ANN_GROWTH" hidden="1">"c784"</definedName>
    <definedName name="IQ_NI_3YR_ANN_GROWTH" hidden="1">"c785"</definedName>
    <definedName name="IQ_NI_5YR_ANN_GROWTH" hidden="1">"c786"</definedName>
    <definedName name="IQ_NI_7YR_ANN_GROWTH" hidden="1">"c787"</definedName>
    <definedName name="IQ_NI_ACT_OR_EST" hidden="1">"c2222"</definedName>
    <definedName name="IQ_NI_AFTER_CAPITALIZED" hidden="1">"c788"</definedName>
    <definedName name="IQ_NI_AVAIL_EXCL" hidden="1">"c789"</definedName>
    <definedName name="IQ_NI_AVAIL_EXCL_MARGIN" hidden="1">"c790"</definedName>
    <definedName name="IQ_NI_AVAIL_INCL" hidden="1">"c791"</definedName>
    <definedName name="IQ_NI_BEFORE_CAPITALIZED" hidden="1">"c792"</definedName>
    <definedName name="IQ_NI_CF" hidden="1">"c793"</definedName>
    <definedName name="IQ_NI_EST" hidden="1">"c1716"</definedName>
    <definedName name="IQ_NI_GW_EST" hidden="1">"c1723"</definedName>
    <definedName name="IQ_NI_GW_HIGH_EST" hidden="1">"c1725"</definedName>
    <definedName name="IQ_NI_GW_LOW_EST" hidden="1">"c1726"</definedName>
    <definedName name="IQ_NI_GW_MEDIAN_EST" hidden="1">"c1724"</definedName>
    <definedName name="IQ_NI_GW_NUM_EST" hidden="1">"c1727"</definedName>
    <definedName name="IQ_NI_GW_STDDEV_EST" hidden="1">"c1728"</definedName>
    <definedName name="IQ_NI_HIGH_EST" hidden="1">"c1718"</definedName>
    <definedName name="IQ_NI_LOW_EST" hidden="1">"c1719"</definedName>
    <definedName name="IQ_NI_MARGIN" hidden="1">"c794"</definedName>
    <definedName name="IQ_NI_MEDIAN_EST" hidden="1">"c1717"</definedName>
    <definedName name="IQ_NI_NORM" hidden="1">"c1901"</definedName>
    <definedName name="IQ_NI_NORM_10YR_ANN_GROWTH" hidden="1">"c1960"</definedName>
    <definedName name="IQ_NI_NORM_1YR_ANN_GROWTH" hidden="1">"c1955"</definedName>
    <definedName name="IQ_NI_NORM_2YR_ANN_GROWTH" hidden="1">"c1956"</definedName>
    <definedName name="IQ_NI_NORM_3YR_ANN_GROWTH" hidden="1">"c1957"</definedName>
    <definedName name="IQ_NI_NORM_5YR_ANN_GROWTH" hidden="1">"c1958"</definedName>
    <definedName name="IQ_NI_NORM_7YR_ANN_GROWTH" hidden="1">"c1959"</definedName>
    <definedName name="IQ_NI_NORM_MARGIN" hidden="1">"c1964"</definedName>
    <definedName name="IQ_NI_NUM_EST" hidden="1">"c1720"</definedName>
    <definedName name="IQ_NI_REPORTED_EST" hidden="1">"c1730"</definedName>
    <definedName name="IQ_NI_REPORTED_HIGH_EST" hidden="1">"c1732"</definedName>
    <definedName name="IQ_NI_REPORTED_LOW_EST" hidden="1">"c1733"</definedName>
    <definedName name="IQ_NI_REPORTED_MEDIAN_EST" hidden="1">"c1731"</definedName>
    <definedName name="IQ_NI_REPORTED_NUM_EST" hidden="1">"c1734"</definedName>
    <definedName name="IQ_NI_REPORTED_STDDEV_EST" hidden="1">"c1735"</definedName>
    <definedName name="IQ_NI_SFAS" hidden="1">"c795"</definedName>
    <definedName name="IQ_NI_STDDEV_EST" hidden="1">"c1721"</definedName>
    <definedName name="IQ_NON_ACCRUAL_LOANS" hidden="1">"c796"</definedName>
    <definedName name="IQ_NON_CASH" hidden="1">"c1399"</definedName>
    <definedName name="IQ_NON_CASH_ITEMS" hidden="1">"c797"</definedName>
    <definedName name="IQ_NON_INS_EXP" hidden="1">"c798"</definedName>
    <definedName name="IQ_NON_INS_REV" hidden="1">"c799"</definedName>
    <definedName name="IQ_NON_INT_BEAR_CD" hidden="1">"c800"</definedName>
    <definedName name="IQ_NON_INT_EXP" hidden="1">"c801"</definedName>
    <definedName name="IQ_NON_INT_INC" hidden="1">"c802"</definedName>
    <definedName name="IQ_NON_INT_INC_10YR_ANN_GROWTH" hidden="1">"c803"</definedName>
    <definedName name="IQ_NON_INT_INC_1YR_ANN_GROWTH" hidden="1">"c804"</definedName>
    <definedName name="IQ_NON_INT_INC_2YR_ANN_GROWTH" hidden="1">"c805"</definedName>
    <definedName name="IQ_NON_INT_INC_3YR_ANN_GROWTH" hidden="1">"c806"</definedName>
    <definedName name="IQ_NON_INT_INC_5YR_ANN_GROWTH" hidden="1">"c807"</definedName>
    <definedName name="IQ_NON_INT_INC_7YR_ANN_GROWTH" hidden="1">"c808"</definedName>
    <definedName name="IQ_NON_INTEREST_EXP" hidden="1">"c1400"</definedName>
    <definedName name="IQ_NON_INTEREST_INC" hidden="1">"c1401"</definedName>
    <definedName name="IQ_NON_OPER_EXP" hidden="1">"c809"</definedName>
    <definedName name="IQ_NON_OPER_INC" hidden="1">"c810"</definedName>
    <definedName name="IQ_NON_PERF_ASSETS_10YR_ANN_GROWTH" hidden="1">"c811"</definedName>
    <definedName name="IQ_NON_PERF_ASSETS_1YR_ANN_GROWTH" hidden="1">"c812"</definedName>
    <definedName name="IQ_NON_PERF_ASSETS_2YR_ANN_GROWTH" hidden="1">"c813"</definedName>
    <definedName name="IQ_NON_PERF_ASSETS_3YR_ANN_GROWTH" hidden="1">"c814"</definedName>
    <definedName name="IQ_NON_PERF_ASSETS_5YR_ANN_GROWTH" hidden="1">"c815"</definedName>
    <definedName name="IQ_NON_PERF_ASSETS_7YR_ANN_GROWTH" hidden="1">"c816"</definedName>
    <definedName name="IQ_NON_PERF_ASSETS_TOTAL_ASSETS" hidden="1">"c817"</definedName>
    <definedName name="IQ_NON_PERF_LOANS_10YR_ANN_GROWTH" hidden="1">"c818"</definedName>
    <definedName name="IQ_NON_PERF_LOANS_1YR_ANN_GROWTH" hidden="1">"c819"</definedName>
    <definedName name="IQ_NON_PERF_LOANS_2YR_ANN_GROWTH" hidden="1">"c820"</definedName>
    <definedName name="IQ_NON_PERF_LOANS_3YR_ANN_GROWTH" hidden="1">"c821"</definedName>
    <definedName name="IQ_NON_PERF_LOANS_5YR_ANN_GROWTH" hidden="1">"c822"</definedName>
    <definedName name="IQ_NON_PERF_LOANS_7YR_ANN_GROWTH" hidden="1">"c823"</definedName>
    <definedName name="IQ_NON_PERF_LOANS_TOTAL_ASSETS" hidden="1">"c824"</definedName>
    <definedName name="IQ_NON_PERF_LOANS_TOTAL_LOANS" hidden="1">"c825"</definedName>
    <definedName name="IQ_NON_PERFORMING_ASSETS" hidden="1">"c826"</definedName>
    <definedName name="IQ_NON_PERFORMING_LOANS" hidden="1">"c827"</definedName>
    <definedName name="IQ_NONCASH_PENSION_EXP" hidden="1">"c3000"</definedName>
    <definedName name="IQ_NONRECOURSE_DEBT" hidden="1">"c2550"</definedName>
    <definedName name="IQ_NONRECOURSE_DEBT_PCT" hidden="1">"c2551"</definedName>
    <definedName name="IQ_NONUTIL_REV" hidden="1">"c2089"</definedName>
    <definedName name="IQ_NORM_EPS_ACT_OR_EST" hidden="1">"c2249"</definedName>
    <definedName name="IQ_NORMAL_INC_AFTER" hidden="1">"c1605"</definedName>
    <definedName name="IQ_NORMAL_INC_AVAIL" hidden="1">"c1606"</definedName>
    <definedName name="IQ_NORMAL_INC_BEFORE" hidden="1">"c1607"</definedName>
    <definedName name="IQ_NOTES_PAY" hidden="1">"c1423"</definedName>
    <definedName name="IQ_NOW_ACCOUNT" hidden="1">"c828"</definedName>
    <definedName name="IQ_NPPE" hidden="1">"c829"</definedName>
    <definedName name="IQ_NPPE_10YR_ANN_GROWTH" hidden="1">"c830"</definedName>
    <definedName name="IQ_NPPE_1YR_ANN_GROWTH" hidden="1">"c831"</definedName>
    <definedName name="IQ_NPPE_2YR_ANN_GROWTH" hidden="1">"c832"</definedName>
    <definedName name="IQ_NPPE_3YR_ANN_GROWTH" hidden="1">"c833"</definedName>
    <definedName name="IQ_NPPE_5YR_ANN_GROWTH" hidden="1">"c834"</definedName>
    <definedName name="IQ_NPPE_7YR_ANN_GROWTH" hidden="1">"c835"</definedName>
    <definedName name="IQ_NTM" hidden="1">6000</definedName>
    <definedName name="IQ_NUKE" hidden="1">"c836"</definedName>
    <definedName name="IQ_NUKE_CF" hidden="1">"c837"</definedName>
    <definedName name="IQ_NUKE_CONTR" hidden="1">"c838"</definedName>
    <definedName name="IQ_NUM_BRANCHES" hidden="1">"c2088"</definedName>
    <definedName name="IQ_NUMBER_ADRHOLDERS" hidden="1">"c1970"</definedName>
    <definedName name="IQ_NUMBER_DAYS" hidden="1">"c1904"</definedName>
    <definedName name="IQ_NUMBER_SHAREHOLDERS" hidden="1">"c1967"</definedName>
    <definedName name="IQ_NUMBER_SHAREHOLDERS_CLASSA" hidden="1">"c1968"</definedName>
    <definedName name="IQ_NUMBER_SHAREHOLDERS_OTHER" hidden="1">"c1969"</definedName>
    <definedName name="IQ_OCCUPY_EXP" hidden="1">"c839"</definedName>
    <definedName name="IQ_OFFER_AMOUNT" hidden="1">"c2152"</definedName>
    <definedName name="IQ_OFFER_COUPON" hidden="1">"c2147"</definedName>
    <definedName name="IQ_OFFER_COUPON_TYPE" hidden="1">"c2148"</definedName>
    <definedName name="IQ_OFFER_DATE" hidden="1">"c2149"</definedName>
    <definedName name="IQ_OFFER_PRICE" hidden="1">"c2150"</definedName>
    <definedName name="IQ_OFFER_YIELD" hidden="1">"c2151"</definedName>
    <definedName name="IQ_OG_10DISC" hidden="1">"c1998"</definedName>
    <definedName name="IQ_OG_10DISC_GAS" hidden="1">"c2018"</definedName>
    <definedName name="IQ_OG_10DISC_OIL" hidden="1">"c2008"</definedName>
    <definedName name="IQ_OG_ACQ_COST_PROVED" hidden="1">"c1975"</definedName>
    <definedName name="IQ_OG_ACQ_COST_PROVED_GAS" hidden="1">"c1987"</definedName>
    <definedName name="IQ_OG_ACQ_COST_PROVED_OIL" hidden="1">"c1981"</definedName>
    <definedName name="IQ_OG_ACQ_COST_UNPROVED" hidden="1">"c1976"</definedName>
    <definedName name="IQ_OG_ACQ_COST_UNPROVED_GAS" hidden="1">"c1988"</definedName>
    <definedName name="IQ_OG_ACQ_COST_UNPROVED_OIL" hidden="1">"c1982"</definedName>
    <definedName name="IQ_OG_AVG_DAILY_PROD_GAS" hidden="1">"c2910"</definedName>
    <definedName name="IQ_OG_AVG_DAILY_PROD_NGL" hidden="1">"c2911"</definedName>
    <definedName name="IQ_OG_AVG_DAILY_PROD_OIL" hidden="1">"c2909"</definedName>
    <definedName name="IQ_OG_CLOSE_BALANCE_GAS" hidden="1">"c2049"</definedName>
    <definedName name="IQ_OG_CLOSE_BALANCE_NGL" hidden="1">"c2920"</definedName>
    <definedName name="IQ_OG_CLOSE_BALANCE_OIL" hidden="1">"c2037"</definedName>
    <definedName name="IQ_OG_DCF_BEFORE_TAXES" hidden="1">"c2023"</definedName>
    <definedName name="IQ_OG_DCF_BEFORE_TAXES_GAS" hidden="1">"c2025"</definedName>
    <definedName name="IQ_OG_DCF_BEFORE_TAXES_OIL" hidden="1">"c2024"</definedName>
    <definedName name="IQ_OG_DEVELOPED_RESERVES_GAS" hidden="1">"c2053"</definedName>
    <definedName name="IQ_OG_DEVELOPED_RESERVES_NGL" hidden="1">"c2922"</definedName>
    <definedName name="IQ_OG_DEVELOPED_RESERVES_OIL" hidden="1">"c2054"</definedName>
    <definedName name="IQ_OG_DEVELOPMENT_COSTS" hidden="1">"c1978"</definedName>
    <definedName name="IQ_OG_DEVELOPMENT_COSTS_GAS" hidden="1">"c1990"</definedName>
    <definedName name="IQ_OG_DEVELOPMENT_COSTS_OIL" hidden="1">"c1984"</definedName>
    <definedName name="IQ_OG_EQUITY_DCF" hidden="1">"c2002"</definedName>
    <definedName name="IQ_OG_EQUITY_DCF_GAS" hidden="1">"c2022"</definedName>
    <definedName name="IQ_OG_EQUITY_DCF_OIL" hidden="1">"c2012"</definedName>
    <definedName name="IQ_OG_EQUTY_RESERVES_GAS" hidden="1">"c2050"</definedName>
    <definedName name="IQ_OG_EQUTY_RESERVES_NGL" hidden="1">"c2921"</definedName>
    <definedName name="IQ_OG_EQUTY_RESERVES_OIL" hidden="1">"c2038"</definedName>
    <definedName name="IQ_OG_EXPLORATION_COSTS" hidden="1">"c1977"</definedName>
    <definedName name="IQ_OG_EXPLORATION_COSTS_GAS" hidden="1">"c1989"</definedName>
    <definedName name="IQ_OG_EXPLORATION_COSTS_OIL" hidden="1">"c1983"</definedName>
    <definedName name="IQ_OG_EXT_DISC_GAS" hidden="1">"c2043"</definedName>
    <definedName name="IQ_OG_EXT_DISC_NGL" hidden="1">"c2914"</definedName>
    <definedName name="IQ_OG_EXT_DISC_OIL" hidden="1">"c2031"</definedName>
    <definedName name="IQ_OG_FUTURE_CASH_INFLOWS" hidden="1">"c1993"</definedName>
    <definedName name="IQ_OG_FUTURE_CASH_INFLOWS_GAS" hidden="1">"c2013"</definedName>
    <definedName name="IQ_OG_FUTURE_CASH_INFLOWS_OIL" hidden="1">"c2003"</definedName>
    <definedName name="IQ_OG_FUTURE_DEVELOPMENT_COSTS" hidden="1">"c1995"</definedName>
    <definedName name="IQ_OG_FUTURE_DEVELOPMENT_COSTS_GAS" hidden="1">"c2015"</definedName>
    <definedName name="IQ_OG_FUTURE_DEVELOPMENT_COSTS_OIL" hidden="1">"c2005"</definedName>
    <definedName name="IQ_OG_FUTURE_INC_TAXES" hidden="1">"c1997"</definedName>
    <definedName name="IQ_OG_FUTURE_INC_TAXES_GAS" hidden="1">"c2017"</definedName>
    <definedName name="IQ_OG_FUTURE_INC_TAXES_OIL" hidden="1">"c2007"</definedName>
    <definedName name="IQ_OG_FUTURE_PRODUCTION_COSTS" hidden="1">"c1994"</definedName>
    <definedName name="IQ_OG_FUTURE_PRODUCTION_COSTS_GAS" hidden="1">"c2014"</definedName>
    <definedName name="IQ_OG_FUTURE_PRODUCTION_COSTS_OIL" hidden="1">"c2004"</definedName>
    <definedName name="IQ_OG_GAS_PRICE_HEDGED" hidden="1">"c2056"</definedName>
    <definedName name="IQ_OG_GAS_PRICE_UNHEDGED" hidden="1">"c2058"</definedName>
    <definedName name="IQ_OG_IMPROVED_RECOVERY_GAS" hidden="1">"c2044"</definedName>
    <definedName name="IQ_OG_IMPROVED_RECOVERY_NGL" hidden="1">"c2915"</definedName>
    <definedName name="IQ_OG_IMPROVED_RECOVERY_OIL" hidden="1">"c2032"</definedName>
    <definedName name="IQ_OG_LIQUID_GAS_PRICE_HEDGED" hidden="1">"c2233"</definedName>
    <definedName name="IQ_OG_LIQUID_GAS_PRICE_UNHEDGED" hidden="1">"c2234"</definedName>
    <definedName name="IQ_OG_NET_FUTURE_CASH_FLOWS" hidden="1">"c1996"</definedName>
    <definedName name="IQ_OG_NET_FUTURE_CASH_FLOWS_GAS" hidden="1">"c2016"</definedName>
    <definedName name="IQ_OG_NET_FUTURE_CASH_FLOWS_OIL" hidden="1">"c2006"</definedName>
    <definedName name="IQ_OG_OIL_PRICE_HEDGED" hidden="1">"c2055"</definedName>
    <definedName name="IQ_OG_OIL_PRICE_UNHEDGED" hidden="1">"c2057"</definedName>
    <definedName name="IQ_OG_OPEN_BALANCE_GAS" hidden="1">"c2041"</definedName>
    <definedName name="IQ_OG_OPEN_BALANCE_NGL" hidden="1">"c2912"</definedName>
    <definedName name="IQ_OG_OPEN_BALANCE_OIL" hidden="1">"c2029"</definedName>
    <definedName name="IQ_OG_OTHER_ADJ_FCF" hidden="1">"c1999"</definedName>
    <definedName name="IQ_OG_OTHER_ADJ_FCF_GAS" hidden="1">"c2019"</definedName>
    <definedName name="IQ_OG_OTHER_ADJ_FCF_OIL" hidden="1">"c2009"</definedName>
    <definedName name="IQ_OG_OTHER_ADJ_GAS" hidden="1">"c2048"</definedName>
    <definedName name="IQ_OG_OTHER_ADJ_NGL" hidden="1">"c2919"</definedName>
    <definedName name="IQ_OG_OTHER_ADJ_OIL" hidden="1">"c2036"</definedName>
    <definedName name="IQ_OG_OTHER_COSTS" hidden="1">"c1979"</definedName>
    <definedName name="IQ_OG_OTHER_COSTS_GAS" hidden="1">"c1991"</definedName>
    <definedName name="IQ_OG_OTHER_COSTS_OIL" hidden="1">"c1985"</definedName>
    <definedName name="IQ_OG_PRODUCTION_GAS" hidden="1">"c2047"</definedName>
    <definedName name="IQ_OG_PRODUCTION_NGL" hidden="1">"c2918"</definedName>
    <definedName name="IQ_OG_PRODUCTION_OIL" hidden="1">"c2035"</definedName>
    <definedName name="IQ_OG_PURCHASES_GAS" hidden="1">"c2045"</definedName>
    <definedName name="IQ_OG_PURCHASES_NGL" hidden="1">"c2916"</definedName>
    <definedName name="IQ_OG_PURCHASES_OIL" hidden="1">"c2033"</definedName>
    <definedName name="IQ_OG_REVISIONS_GAS" hidden="1">"c2042"</definedName>
    <definedName name="IQ_OG_REVISIONS_NGL" hidden="1">"c2913"</definedName>
    <definedName name="IQ_OG_REVISIONS_OIL" hidden="1">"c2030"</definedName>
    <definedName name="IQ_OG_SALES_IN_PLACE_GAS" hidden="1">"c2046"</definedName>
    <definedName name="IQ_OG_SALES_IN_PLACE_NGL" hidden="1">"c2917"</definedName>
    <definedName name="IQ_OG_SALES_IN_PLACE_OIL" hidden="1">"c2034"</definedName>
    <definedName name="IQ_OG_STANDARDIZED_DCF" hidden="1">"c2000"</definedName>
    <definedName name="IQ_OG_STANDARDIZED_DCF_GAS" hidden="1">"c2020"</definedName>
    <definedName name="IQ_OG_STANDARDIZED_DCF_HEDGED" hidden="1">"c2001"</definedName>
    <definedName name="IQ_OG_STANDARDIZED_DCF_HEDGED_GAS" hidden="1">"c2021"</definedName>
    <definedName name="IQ_OG_STANDARDIZED_DCF_HEDGED_OIL" hidden="1">"c2011"</definedName>
    <definedName name="IQ_OG_STANDARDIZED_DCF_OIL" hidden="1">"c2010"</definedName>
    <definedName name="IQ_OG_TAXES" hidden="1">"c2026"</definedName>
    <definedName name="IQ_OG_TAXES_GAS" hidden="1">"c2028"</definedName>
    <definedName name="IQ_OG_TAXES_OIL" hidden="1">"c2027"</definedName>
    <definedName name="IQ_OG_TOTAL_COSTS" hidden="1">"c1980"</definedName>
    <definedName name="IQ_OG_TOTAL_COSTS_GAS" hidden="1">"c1992"</definedName>
    <definedName name="IQ_OG_TOTAL_COSTS_OIL" hidden="1">"c1986"</definedName>
    <definedName name="IQ_OG_TOTAL_EST_PROVED_RESERVES_GAS" hidden="1">"c2052"</definedName>
    <definedName name="IQ_OG_TOTAL_GAS_PRODUCTION" hidden="1">"c2060"</definedName>
    <definedName name="IQ_OG_TOTAL_LIQUID_GAS_PRODUCTION" hidden="1">"c2235"</definedName>
    <definedName name="IQ_OG_TOTAL_OIL_PRODUCTION" hidden="1">"c2059"</definedName>
    <definedName name="IQ_OG_TOTAL_OIL_PRODUCTON" hidden="1">"c2059"</definedName>
    <definedName name="IQ_OG_UNDEVELOPED_RESERVES_GAS" hidden="1">"c2051"</definedName>
    <definedName name="IQ_OG_UNDEVELOPED_RESERVES_NGL" hidden="1">"c2923"</definedName>
    <definedName name="IQ_OG_UNDEVELOPED_RESERVES_OIL" hidden="1">"c2039"</definedName>
    <definedName name="IQ_OIL_IMPAIR" hidden="1">"c840"</definedName>
    <definedName name="IQ_OL_COMM_AFTER_FIVE" hidden="1">"c841"</definedName>
    <definedName name="IQ_OL_COMM_CY" hidden="1">"c842"</definedName>
    <definedName name="IQ_OL_COMM_CY1" hidden="1">"c843"</definedName>
    <definedName name="IQ_OL_COMM_CY2" hidden="1">"c844"</definedName>
    <definedName name="IQ_OL_COMM_CY3" hidden="1">"c845"</definedName>
    <definedName name="IQ_OL_COMM_CY4" hidden="1">"c846"</definedName>
    <definedName name="IQ_OL_COMM_NEXT_FIVE" hidden="1">"c847"</definedName>
    <definedName name="IQ_OPENPRICE" hidden="1">"c848"</definedName>
    <definedName name="IQ_OPER_INC" hidden="1">"c849"</definedName>
    <definedName name="IQ_OPER_INC_ACT_OR_EST" hidden="1">"c2220"</definedName>
    <definedName name="IQ_OPER_INC_BR" hidden="1">"c850"</definedName>
    <definedName name="IQ_OPER_INC_EST" hidden="1">"c1688"</definedName>
    <definedName name="IQ_OPER_INC_FIN" hidden="1">"c851"</definedName>
    <definedName name="IQ_OPER_INC_HIGH_EST" hidden="1">"c1690"</definedName>
    <definedName name="IQ_OPER_INC_INS" hidden="1">"c852"</definedName>
    <definedName name="IQ_OPER_INC_LOW_EST" hidden="1">"c1691"</definedName>
    <definedName name="IQ_OPER_INC_MARGIN" hidden="1">"c1448"</definedName>
    <definedName name="IQ_OPER_INC_MEDIAN_EST" hidden="1">"c1689"</definedName>
    <definedName name="IQ_OPER_INC_NUM_EST" hidden="1">"c1692"</definedName>
    <definedName name="IQ_OPER_INC_REIT" hidden="1">"c853"</definedName>
    <definedName name="IQ_OPER_INC_STDDEV_EST" hidden="1">"c1693"</definedName>
    <definedName name="IQ_OPER_INC_UTI" hidden="1">"c854"</definedName>
    <definedName name="IQ_OPERATIONS_EXP" hidden="1">"c855"</definedName>
    <definedName name="IQ_OPTIONS_BEG_OS" hidden="1">"c1572"</definedName>
    <definedName name="IQ_OPTIONS_CANCELLED" hidden="1">"c856"</definedName>
    <definedName name="IQ_OPTIONS_END_OS" hidden="1">"c1573"</definedName>
    <definedName name="IQ_OPTIONS_EXERCISED" hidden="1">"c2116"</definedName>
    <definedName name="IQ_OPTIONS_GRANTED" hidden="1">"c2673"</definedName>
    <definedName name="IQ_OPTIONS_ISSUED" hidden="1">"c857"</definedName>
    <definedName name="IQ_OPTIONS_STRIKE_PRICE_GRANTED" hidden="1">"c2678"</definedName>
    <definedName name="IQ_OPTIONS_STRIKE_PRICE_OS" hidden="1">"c2677"</definedName>
    <definedName name="IQ_ORDER_BACKLOG" hidden="1">"c2090"</definedName>
    <definedName name="IQ_OTHER_ADJUST_GROSS_LOANS" hidden="1">"c859"</definedName>
    <definedName name="IQ_OTHER_ASSETS" hidden="1">"c860"</definedName>
    <definedName name="IQ_OTHER_ASSETS_BNK" hidden="1">"c861"</definedName>
    <definedName name="IQ_OTHER_ASSETS_BR" hidden="1">"c862"</definedName>
    <definedName name="IQ_OTHER_ASSETS_FIN" hidden="1">"c863"</definedName>
    <definedName name="IQ_OTHER_ASSETS_INS" hidden="1">"c864"</definedName>
    <definedName name="IQ_OTHER_ASSETS_REIT" hidden="1">"c865"</definedName>
    <definedName name="IQ_OTHER_ASSETS_SERV_RIGHTS" hidden="1">"c2243"</definedName>
    <definedName name="IQ_OTHER_ASSETS_UTI" hidden="1">"c866"</definedName>
    <definedName name="IQ_OTHER_BEARING_LIAB" hidden="1">"c1608"</definedName>
    <definedName name="IQ_OTHER_BENEFITS_OBLIGATION" hidden="1">"c867"</definedName>
    <definedName name="IQ_OTHER_CA" hidden="1">"c868"</definedName>
    <definedName name="IQ_OTHER_CA_SUPPL" hidden="1">"c869"</definedName>
    <definedName name="IQ_OTHER_CA_SUPPL_BNK" hidden="1">"c870"</definedName>
    <definedName name="IQ_OTHER_CA_SUPPL_BR" hidden="1">"c871"</definedName>
    <definedName name="IQ_OTHER_CA_SUPPL_FIN" hidden="1">"c872"</definedName>
    <definedName name="IQ_OTHER_CA_SUPPL_INS" hidden="1">"c873"</definedName>
    <definedName name="IQ_OTHER_CA_SUPPL_REIT" hidden="1">"c874"</definedName>
    <definedName name="IQ_OTHER_CA_SUPPL_UTI" hidden="1">"c875"</definedName>
    <definedName name="IQ_OTHER_CA_UTI" hidden="1">"c876"</definedName>
    <definedName name="IQ_OTHER_CL" hidden="1">"c877"</definedName>
    <definedName name="IQ_OTHER_CL_SUPPL" hidden="1">"c878"</definedName>
    <definedName name="IQ_OTHER_CL_SUPPL_BNK" hidden="1">"c879"</definedName>
    <definedName name="IQ_OTHER_CL_SUPPL_BR" hidden="1">"c880"</definedName>
    <definedName name="IQ_OTHER_CL_SUPPL_FIN" hidden="1">"c881"</definedName>
    <definedName name="IQ_OTHER_CL_SUPPL_REIT" hidden="1">"c882"</definedName>
    <definedName name="IQ_OTHER_CL_SUPPL_UTI" hidden="1">"c883"</definedName>
    <definedName name="IQ_OTHER_CL_UTI" hidden="1">"c884"</definedName>
    <definedName name="IQ_OTHER_CURRENT_ASSETS" hidden="1">"c1403"</definedName>
    <definedName name="IQ_OTHER_CURRENT_LIAB" hidden="1">"c1404"</definedName>
    <definedName name="IQ_OTHER_DEBT" hidden="1">"c2507"</definedName>
    <definedName name="IQ_OTHER_DEBT_PCT" hidden="1">"c2508"</definedName>
    <definedName name="IQ_OTHER_DEP" hidden="1">"c885"</definedName>
    <definedName name="IQ_OTHER_EARNING" hidden="1">"c1609"</definedName>
    <definedName name="IQ_OTHER_EQUITY" hidden="1">"c886"</definedName>
    <definedName name="IQ_OTHER_EQUITY_BNK" hidden="1">"c887"</definedName>
    <definedName name="IQ_OTHER_EQUITY_BR" hidden="1">"c888"</definedName>
    <definedName name="IQ_OTHER_EQUITY_FIN" hidden="1">"c889"</definedName>
    <definedName name="IQ_OTHER_EQUITY_INS" hidden="1">"c890"</definedName>
    <definedName name="IQ_OTHER_EQUITY_REIT" hidden="1">"c891"</definedName>
    <definedName name="IQ_OTHER_EQUITY_UTI" hidden="1">"c892"</definedName>
    <definedName name="IQ_OTHER_FINANCE_ACT" hidden="1">"c893"</definedName>
    <definedName name="IQ_OTHER_FINANCE_ACT_BNK" hidden="1">"c894"</definedName>
    <definedName name="IQ_OTHER_FINANCE_ACT_BR" hidden="1">"c895"</definedName>
    <definedName name="IQ_OTHER_FINANCE_ACT_FIN" hidden="1">"c896"</definedName>
    <definedName name="IQ_OTHER_FINANCE_ACT_INS" hidden="1">"c897"</definedName>
    <definedName name="IQ_OTHER_FINANCE_ACT_REIT" hidden="1">"c898"</definedName>
    <definedName name="IQ_OTHER_FINANCE_ACT_SUPPL" hidden="1">"c899"</definedName>
    <definedName name="IQ_OTHER_FINANCE_ACT_SUPPL_BNK" hidden="1">"c900"</definedName>
    <definedName name="IQ_OTHER_FINANCE_ACT_SUPPL_BR" hidden="1">"c901"</definedName>
    <definedName name="IQ_OTHER_FINANCE_ACT_SUPPL_FIN" hidden="1">"c902"</definedName>
    <definedName name="IQ_OTHER_FINANCE_ACT_SUPPL_INS" hidden="1">"c903"</definedName>
    <definedName name="IQ_OTHER_FINANCE_ACT_SUPPL_REIT" hidden="1">"c904"</definedName>
    <definedName name="IQ_OTHER_FINANCE_ACT_SUPPL_UTI" hidden="1">"c905"</definedName>
    <definedName name="IQ_OTHER_FINANCE_ACT_UTI" hidden="1">"c906"</definedName>
    <definedName name="IQ_OTHER_INTAN" hidden="1">"c907"</definedName>
    <definedName name="IQ_OTHER_INTAN_BNK" hidden="1">"c908"</definedName>
    <definedName name="IQ_OTHER_INTAN_BR" hidden="1">"c909"</definedName>
    <definedName name="IQ_OTHER_INTAN_FIN" hidden="1">"c910"</definedName>
    <definedName name="IQ_OTHER_INTAN_INS" hidden="1">"c911"</definedName>
    <definedName name="IQ_OTHER_INTAN_REIT" hidden="1">"c912"</definedName>
    <definedName name="IQ_OTHER_INTAN_UTI" hidden="1">"c913"</definedName>
    <definedName name="IQ_OTHER_INV" hidden="1">"c914"</definedName>
    <definedName name="IQ_OTHER_INVEST" hidden="1">"c915"</definedName>
    <definedName name="IQ_OTHER_INVEST_ACT" hidden="1">"c916"</definedName>
    <definedName name="IQ_OTHER_INVEST_ACT_BNK" hidden="1">"c917"</definedName>
    <definedName name="IQ_OTHER_INVEST_ACT_BR" hidden="1">"c918"</definedName>
    <definedName name="IQ_OTHER_INVEST_ACT_FIN" hidden="1">"c919"</definedName>
    <definedName name="IQ_OTHER_INVEST_ACT_INS" hidden="1">"c920"</definedName>
    <definedName name="IQ_OTHER_INVEST_ACT_REIT" hidden="1">"c921"</definedName>
    <definedName name="IQ_OTHER_INVEST_ACT_SUPPL" hidden="1">"c922"</definedName>
    <definedName name="IQ_OTHER_INVEST_ACT_SUPPL_BNK" hidden="1">"c923"</definedName>
    <definedName name="IQ_OTHER_INVEST_ACT_SUPPL_BR" hidden="1">"c924"</definedName>
    <definedName name="IQ_OTHER_INVEST_ACT_SUPPL_FIN" hidden="1">"c925"</definedName>
    <definedName name="IQ_OTHER_INVEST_ACT_SUPPL_INS" hidden="1">"c926"</definedName>
    <definedName name="IQ_OTHER_INVEST_ACT_SUPPL_REIT" hidden="1">"c927"</definedName>
    <definedName name="IQ_OTHER_INVEST_ACT_SUPPL_UTI" hidden="1">"c928"</definedName>
    <definedName name="IQ_OTHER_INVEST_ACT_UTI" hidden="1">"c929"</definedName>
    <definedName name="IQ_OTHER_INVESTING" hidden="1">"c1408"</definedName>
    <definedName name="IQ_OTHER_LIAB" hidden="1">"c930"</definedName>
    <definedName name="IQ_OTHER_LIAB_BNK" hidden="1">"c931"</definedName>
    <definedName name="IQ_OTHER_LIAB_BR" hidden="1">"c932"</definedName>
    <definedName name="IQ_OTHER_LIAB_FIN" hidden="1">"c933"</definedName>
    <definedName name="IQ_OTHER_LIAB_INS" hidden="1">"c934"</definedName>
    <definedName name="IQ_OTHER_LIAB_LT" hidden="1">"c935"</definedName>
    <definedName name="IQ_OTHER_LIAB_LT_BNK" hidden="1">"c936"</definedName>
    <definedName name="IQ_OTHER_LIAB_LT_BR" hidden="1">"c937"</definedName>
    <definedName name="IQ_OTHER_LIAB_LT_FIN" hidden="1">"c938"</definedName>
    <definedName name="IQ_OTHER_LIAB_LT_INS" hidden="1">"c939"</definedName>
    <definedName name="IQ_OTHER_LIAB_LT_REIT" hidden="1">"c940"</definedName>
    <definedName name="IQ_OTHER_LIAB_LT_UTI" hidden="1">"c941"</definedName>
    <definedName name="IQ_OTHER_LIAB_REIT" hidden="1">"c942"</definedName>
    <definedName name="IQ_OTHER_LIAB_UTI" hidden="1">"c943"</definedName>
    <definedName name="IQ_OTHER_LIAB_WRITTEN" hidden="1">"c944"</definedName>
    <definedName name="IQ_OTHER_LOANS" hidden="1">"c945"</definedName>
    <definedName name="IQ_OTHER_LONG_TERM" hidden="1">"c1409"</definedName>
    <definedName name="IQ_OTHER_LT_ASSETS" hidden="1">"c946"</definedName>
    <definedName name="IQ_OTHER_LT_ASSETS_BNK" hidden="1">"c947"</definedName>
    <definedName name="IQ_OTHER_LT_ASSETS_BR" hidden="1">"c948"</definedName>
    <definedName name="IQ_OTHER_LT_ASSETS_FIN" hidden="1">"c949"</definedName>
    <definedName name="IQ_OTHER_LT_ASSETS_INS" hidden="1">"c950"</definedName>
    <definedName name="IQ_OTHER_LT_ASSETS_REIT" hidden="1">"c951"</definedName>
    <definedName name="IQ_OTHER_LT_ASSETS_UTI" hidden="1">"c952"</definedName>
    <definedName name="IQ_OTHER_NET" hidden="1">"c1453"</definedName>
    <definedName name="IQ_OTHER_NON_INT_EXP" hidden="1">"c953"</definedName>
    <definedName name="IQ_OTHER_NON_INT_EXP_TOTAL" hidden="1">"c954"</definedName>
    <definedName name="IQ_OTHER_NON_INT_INC" hidden="1">"c955"</definedName>
    <definedName name="IQ_OTHER_NON_OPER_EXP" hidden="1">"c956"</definedName>
    <definedName name="IQ_OTHER_NON_OPER_EXP_BR" hidden="1">"c957"</definedName>
    <definedName name="IQ_OTHER_NON_OPER_EXP_FIN" hidden="1">"c958"</definedName>
    <definedName name="IQ_OTHER_NON_OPER_EXP_INS" hidden="1">"c959"</definedName>
    <definedName name="IQ_OTHER_NON_OPER_EXP_REIT" hidden="1">"c960"</definedName>
    <definedName name="IQ_OTHER_NON_OPER_EXP_SUPPL" hidden="1">"c961"</definedName>
    <definedName name="IQ_OTHER_NON_OPER_EXP_SUPPL_BR" hidden="1">"c962"</definedName>
    <definedName name="IQ_OTHER_NON_OPER_EXP_SUPPL_FIN" hidden="1">"c963"</definedName>
    <definedName name="IQ_OTHER_NON_OPER_EXP_SUPPL_INS" hidden="1">"c964"</definedName>
    <definedName name="IQ_OTHER_NON_OPER_EXP_SUPPL_REIT" hidden="1">"c965"</definedName>
    <definedName name="IQ_OTHER_NON_OPER_EXP_SUPPL_UTI" hidden="1">"c966"</definedName>
    <definedName name="IQ_OTHER_NON_OPER_EXP_UTI" hidden="1">"c967"</definedName>
    <definedName name="IQ_OTHER_OPER" hidden="1">"c982"</definedName>
    <definedName name="IQ_OTHER_OPER_ACT" hidden="1">"c983"</definedName>
    <definedName name="IQ_OTHER_OPER_ACT_BNK" hidden="1">"c984"</definedName>
    <definedName name="IQ_OTHER_OPER_ACT_BR" hidden="1">"c985"</definedName>
    <definedName name="IQ_OTHER_OPER_ACT_FIN" hidden="1">"c986"</definedName>
    <definedName name="IQ_OTHER_OPER_ACT_INS" hidden="1">"c987"</definedName>
    <definedName name="IQ_OTHER_OPER_ACT_REIT" hidden="1">"c988"</definedName>
    <definedName name="IQ_OTHER_OPER_ACT_UTI" hidden="1">"c989"</definedName>
    <definedName name="IQ_OTHER_OPER_BR" hidden="1">"c990"</definedName>
    <definedName name="IQ_OTHER_OPER_FIN" hidden="1">"c991"</definedName>
    <definedName name="IQ_OTHER_OPER_INS" hidden="1">"c992"</definedName>
    <definedName name="IQ_OTHER_OPER_REIT" hidden="1">"c993"</definedName>
    <definedName name="IQ_OTHER_OPER_SUPPL_BR" hidden="1">"c994"</definedName>
    <definedName name="IQ_OTHER_OPER_SUPPL_FIN" hidden="1">"c995"</definedName>
    <definedName name="IQ_OTHER_OPER_SUPPL_INS" hidden="1">"c996"</definedName>
    <definedName name="IQ_OTHER_OPER_SUPPL_REIT" hidden="1">"c997"</definedName>
    <definedName name="IQ_OTHER_OPER_SUPPL_UTI" hidden="1">"c998"</definedName>
    <definedName name="IQ_OTHER_OPER_TOT_BNK" hidden="1">"c999"</definedName>
    <definedName name="IQ_OTHER_OPER_TOT_BR" hidden="1">"c1000"</definedName>
    <definedName name="IQ_OTHER_OPER_TOT_FIN" hidden="1">"c1001"</definedName>
    <definedName name="IQ_OTHER_OPER_TOT_INS" hidden="1">"c1002"</definedName>
    <definedName name="IQ_OTHER_OPER_TOT_REIT" hidden="1">"c1003"</definedName>
    <definedName name="IQ_OTHER_OPER_TOT_UTI" hidden="1">"c1004"</definedName>
    <definedName name="IQ_OTHER_OPER_UTI" hidden="1">"c1005"</definedName>
    <definedName name="IQ_OTHER_OPTIONS_BEG_OS" hidden="1">"c2686"</definedName>
    <definedName name="IQ_OTHER_OPTIONS_CANCELLED" hidden="1">"c2689"</definedName>
    <definedName name="IQ_OTHER_OPTIONS_END_OS" hidden="1">"c2690"</definedName>
    <definedName name="IQ_OTHER_OPTIONS_EXERCISED" hidden="1">"c2688"</definedName>
    <definedName name="IQ_OTHER_OPTIONS_GRANTED" hidden="1">"c2687"</definedName>
    <definedName name="IQ_OTHER_OPTIONS_STRIKE_PRICE_OS" hidden="1">"c2691"</definedName>
    <definedName name="IQ_OTHER_OUTSTANDING_BS_DATE" hidden="1">"c1972"</definedName>
    <definedName name="IQ_OTHER_OUTSTANDING_FILING_DATE" hidden="1">"c1974"</definedName>
    <definedName name="IQ_OTHER_PC_WRITTEN" hidden="1">"c1006"</definedName>
    <definedName name="IQ_OTHER_REAL_ESTATE" hidden="1">"c1007"</definedName>
    <definedName name="IQ_OTHER_RECEIV" hidden="1">"c1008"</definedName>
    <definedName name="IQ_OTHER_RECEIV_INS" hidden="1">"c1009"</definedName>
    <definedName name="IQ_OTHER_REV" hidden="1">"c1010"</definedName>
    <definedName name="IQ_OTHER_REV_BR" hidden="1">"c1011"</definedName>
    <definedName name="IQ_OTHER_REV_FIN" hidden="1">"c1012"</definedName>
    <definedName name="IQ_OTHER_REV_INS" hidden="1">"c1013"</definedName>
    <definedName name="IQ_OTHER_REV_REIT" hidden="1">"c1014"</definedName>
    <definedName name="IQ_OTHER_REV_SUPPL" hidden="1">"c1015"</definedName>
    <definedName name="IQ_OTHER_REV_SUPPL_BR" hidden="1">"c1016"</definedName>
    <definedName name="IQ_OTHER_REV_SUPPL_FIN" hidden="1">"c1017"</definedName>
    <definedName name="IQ_OTHER_REV_SUPPL_INS" hidden="1">"c1018"</definedName>
    <definedName name="IQ_OTHER_REV_SUPPL_REIT" hidden="1">"c1019"</definedName>
    <definedName name="IQ_OTHER_REV_SUPPL_UTI" hidden="1">"c1020"</definedName>
    <definedName name="IQ_OTHER_REV_UTI" hidden="1">"c1021"</definedName>
    <definedName name="IQ_OTHER_REVENUE" hidden="1">"c1410"</definedName>
    <definedName name="IQ_OTHER_STRIKE_PRICE_GRANTED" hidden="1">"c2692"</definedName>
    <definedName name="IQ_OTHER_UNDRAWN" hidden="1">"c2522"</definedName>
    <definedName name="IQ_OTHER_UNUSUAL" hidden="1">"c1488"</definedName>
    <definedName name="IQ_OTHER_UNUSUAL_BNK" hidden="1">"c1560"</definedName>
    <definedName name="IQ_OTHER_UNUSUAL_BR" hidden="1">"c1561"</definedName>
    <definedName name="IQ_OTHER_UNUSUAL_FIN" hidden="1">"c1562"</definedName>
    <definedName name="IQ_OTHER_UNUSUAL_INS" hidden="1">"c1563"</definedName>
    <definedName name="IQ_OTHER_UNUSUAL_REIT" hidden="1">"c1564"</definedName>
    <definedName name="IQ_OTHER_UNUSUAL_SUPPL" hidden="1">"c1494"</definedName>
    <definedName name="IQ_OTHER_UNUSUAL_SUPPL_BNK" hidden="1">"c1495"</definedName>
    <definedName name="IQ_OTHER_UNUSUAL_SUPPL_BR" hidden="1">"c1496"</definedName>
    <definedName name="IQ_OTHER_UNUSUAL_SUPPL_FIN" hidden="1">"c1497"</definedName>
    <definedName name="IQ_OTHER_UNUSUAL_SUPPL_INS" hidden="1">"c1498"</definedName>
    <definedName name="IQ_OTHER_UNUSUAL_SUPPL_REIT" hidden="1">"c1499"</definedName>
    <definedName name="IQ_OTHER_UNUSUAL_SUPPL_UTI" hidden="1">"c1500"</definedName>
    <definedName name="IQ_OTHER_UNUSUAL_UTI" hidden="1">"c1565"</definedName>
    <definedName name="IQ_OTHER_WARRANTS_BEG_OS" hidden="1">"c2712"</definedName>
    <definedName name="IQ_OTHER_WARRANTS_CANCELLED" hidden="1">"c2715"</definedName>
    <definedName name="IQ_OTHER_WARRANTS_END_OS" hidden="1">"c2716"</definedName>
    <definedName name="IQ_OTHER_WARRANTS_EXERCISED" hidden="1">"c2714"</definedName>
    <definedName name="IQ_OTHER_WARRANTS_ISSUED" hidden="1">"c2713"</definedName>
    <definedName name="IQ_OTHER_WARRANTS_STRIKE_PRICE_ISSUED" hidden="1">"c2718"</definedName>
    <definedName name="IQ_OTHER_WARRANTS_STRIKE_PRICE_OS" hidden="1">"c2717"</definedName>
    <definedName name="IQ_OUTSTANDING_BS_DATE" hidden="1">"c2128"</definedName>
    <definedName name="IQ_OUTSTANDING_FILING_DATE" hidden="1">"c2127"</definedName>
    <definedName name="IQ_OWNERSHIP" hidden="1">"c2160"</definedName>
    <definedName name="IQ_PART_TIME" hidden="1">"c1024"</definedName>
    <definedName name="IQ_PAY_ACCRUED" hidden="1">"c1457"</definedName>
    <definedName name="IQ_PAYOUT_RATIO" hidden="1">"c1900"</definedName>
    <definedName name="IQ_PBV" hidden="1">"c1025"</definedName>
    <definedName name="IQ_PBV_AVG" hidden="1">"c1026"</definedName>
    <definedName name="IQ_PC_EARNED" hidden="1">"c2749"</definedName>
    <definedName name="IQ_PC_GAAP_COMBINED_RATIO" hidden="1">"c2781"</definedName>
    <definedName name="IQ_PC_GAAP_COMBINED_RATIO_EXCL_CL" hidden="1">"c2782"</definedName>
    <definedName name="IQ_PC_GAAP_EXPENSE_RATIO" hidden="1">"c2780"</definedName>
    <definedName name="IQ_PC_GAAP_LOSS" hidden="1">"c2779"</definedName>
    <definedName name="IQ_PC_POLICY_BENEFITS_EXP" hidden="1">"c2790"</definedName>
    <definedName name="IQ_PC_STAT_COMBINED_RATIO" hidden="1">"c2778"</definedName>
    <definedName name="IQ_PC_STAT_COMBINED_RATIO_EXCL_DIV" hidden="1">"c2777"</definedName>
    <definedName name="IQ_PC_STAT_DIVIDEND_RATIO" hidden="1">"c2776"</definedName>
    <definedName name="IQ_PC_STAT_EXPENSE_RATIO" hidden="1">"c2775"</definedName>
    <definedName name="IQ_PC_STAT_LOSS_RATIO" hidden="1">"c2774"</definedName>
    <definedName name="IQ_PC_STATUTORY_SURPLUS" hidden="1">"c2770"</definedName>
    <definedName name="IQ_PC_WRITTEN" hidden="1">"c1027"</definedName>
    <definedName name="IQ_PE_EXCL" hidden="1">"c1028"</definedName>
    <definedName name="IQ_PE_EXCL_AVG" hidden="1">"c1029"</definedName>
    <definedName name="IQ_PE_EXCL_FWD" hidden="1">"c1030"</definedName>
    <definedName name="IQ_PE_NORMALIZED" hidden="1">"c2207"</definedName>
    <definedName name="IQ_PE_RATIO" hidden="1">"c1610"</definedName>
    <definedName name="IQ_PEG_FWD" hidden="1">"c1863"</definedName>
    <definedName name="IQ_PENSION" hidden="1">"c1031"</definedName>
    <definedName name="IQ_PERCENT_CHANGE_EST_5YR_GROWTH_RATE_12MONTHS" hidden="1">"c1852"</definedName>
    <definedName name="IQ_PERCENT_CHANGE_EST_5YR_GROWTH_RATE_18MONTHS" hidden="1">"c1853"</definedName>
    <definedName name="IQ_PERCENT_CHANGE_EST_5YR_GROWTH_RATE_3MONTHS" hidden="1">"c1849"</definedName>
    <definedName name="IQ_PERCENT_CHANGE_EST_5YR_GROWTH_RATE_6MONTHS" hidden="1">"c1850"</definedName>
    <definedName name="IQ_PERCENT_CHANGE_EST_5YR_GROWTH_RATE_9MONTHS" hidden="1">"c1851"</definedName>
    <definedName name="IQ_PERCENT_CHANGE_EST_5YR_GROWTH_RATE_DAY" hidden="1">"c1846"</definedName>
    <definedName name="IQ_PERCENT_CHANGE_EST_5YR_GROWTH_RATE_MONTH" hidden="1">"c1848"</definedName>
    <definedName name="IQ_PERCENT_CHANGE_EST_5YR_GROWTH_RATE_WEEK" hidden="1">"c1847"</definedName>
    <definedName name="IQ_PERCENT_CHANGE_EST_CFPS_12MONTHS" hidden="1">"c1812"</definedName>
    <definedName name="IQ_PERCENT_CHANGE_EST_CFPS_18MONTHS" hidden="1">"c1813"</definedName>
    <definedName name="IQ_PERCENT_CHANGE_EST_CFPS_3MONTHS" hidden="1">"c1809"</definedName>
    <definedName name="IQ_PERCENT_CHANGE_EST_CFPS_6MONTHS" hidden="1">"c1810"</definedName>
    <definedName name="IQ_PERCENT_CHANGE_EST_CFPS_9MONTHS" hidden="1">"c1811"</definedName>
    <definedName name="IQ_PERCENT_CHANGE_EST_CFPS_DAY" hidden="1">"c1806"</definedName>
    <definedName name="IQ_PERCENT_CHANGE_EST_CFPS_MONTH" hidden="1">"c1808"</definedName>
    <definedName name="IQ_PERCENT_CHANGE_EST_CFPS_WEEK" hidden="1">"c1807"</definedName>
    <definedName name="IQ_PERCENT_CHANGE_EST_DPS_12MONTHS" hidden="1">"c1820"</definedName>
    <definedName name="IQ_PERCENT_CHANGE_EST_DPS_18MONTHS" hidden="1">"c1821"</definedName>
    <definedName name="IQ_PERCENT_CHANGE_EST_DPS_3MONTHS" hidden="1">"c1817"</definedName>
    <definedName name="IQ_PERCENT_CHANGE_EST_DPS_6MONTHS" hidden="1">"c1818"</definedName>
    <definedName name="IQ_PERCENT_CHANGE_EST_DPS_9MONTHS" hidden="1">"c1819"</definedName>
    <definedName name="IQ_PERCENT_CHANGE_EST_DPS_DAY" hidden="1">"c1814"</definedName>
    <definedName name="IQ_PERCENT_CHANGE_EST_DPS_MONTH" hidden="1">"c1816"</definedName>
    <definedName name="IQ_PERCENT_CHANGE_EST_DPS_WEEK" hidden="1">"c1815"</definedName>
    <definedName name="IQ_PERCENT_CHANGE_EST_EBITDA_12MONTHS" hidden="1">"c1804"</definedName>
    <definedName name="IQ_PERCENT_CHANGE_EST_EBITDA_18MONTHS" hidden="1">"c1805"</definedName>
    <definedName name="IQ_PERCENT_CHANGE_EST_EBITDA_3MONTHS" hidden="1">"c1801"</definedName>
    <definedName name="IQ_PERCENT_CHANGE_EST_EBITDA_6MONTHS" hidden="1">"c1802"</definedName>
    <definedName name="IQ_PERCENT_CHANGE_EST_EBITDA_9MONTHS" hidden="1">"c1803"</definedName>
    <definedName name="IQ_PERCENT_CHANGE_EST_EBITDA_DAY" hidden="1">"c1798"</definedName>
    <definedName name="IQ_PERCENT_CHANGE_EST_EBITDA_MONTH" hidden="1">"c1800"</definedName>
    <definedName name="IQ_PERCENT_CHANGE_EST_EBITDA_WEEK" hidden="1">"c1799"</definedName>
    <definedName name="IQ_PERCENT_CHANGE_EST_EPS_12MONTHS" hidden="1">"c1788"</definedName>
    <definedName name="IQ_PERCENT_CHANGE_EST_EPS_18MONTHS" hidden="1">"c1789"</definedName>
    <definedName name="IQ_PERCENT_CHANGE_EST_EPS_3MONTHS" hidden="1">"c1785"</definedName>
    <definedName name="IQ_PERCENT_CHANGE_EST_EPS_6MONTHS" hidden="1">"c1786"</definedName>
    <definedName name="IQ_PERCENT_CHANGE_EST_EPS_9MONTHS" hidden="1">"c1787"</definedName>
    <definedName name="IQ_PERCENT_CHANGE_EST_EPS_DAY" hidden="1">"c1782"</definedName>
    <definedName name="IQ_PERCENT_CHANGE_EST_EPS_MONTH" hidden="1">"c1784"</definedName>
    <definedName name="IQ_PERCENT_CHANGE_EST_EPS_WEEK" hidden="1">"c1783"</definedName>
    <definedName name="IQ_PERCENT_CHANGE_EST_FFO_12MONTHS" hidden="1">"c1828"</definedName>
    <definedName name="IQ_PERCENT_CHANGE_EST_FFO_18MONTHS" hidden="1">"c1829"</definedName>
    <definedName name="IQ_PERCENT_CHANGE_EST_FFO_3MONTHS" hidden="1">"c1825"</definedName>
    <definedName name="IQ_PERCENT_CHANGE_EST_FFO_6MONTHS" hidden="1">"c1826"</definedName>
    <definedName name="IQ_PERCENT_CHANGE_EST_FFO_9MONTHS" hidden="1">"c1827"</definedName>
    <definedName name="IQ_PERCENT_CHANGE_EST_FFO_DAY" hidden="1">"c1822"</definedName>
    <definedName name="IQ_PERCENT_CHANGE_EST_FFO_MONTH" hidden="1">"c1824"</definedName>
    <definedName name="IQ_PERCENT_CHANGE_EST_FFO_WEEK" hidden="1">"c1823"</definedName>
    <definedName name="IQ_PERCENT_CHANGE_EST_PRICE_TARGET_12MONTHS" hidden="1">"c1844"</definedName>
    <definedName name="IQ_PERCENT_CHANGE_EST_PRICE_TARGET_18MONTHS" hidden="1">"c1845"</definedName>
    <definedName name="IQ_PERCENT_CHANGE_EST_PRICE_TARGET_3MONTHS" hidden="1">"c1841"</definedName>
    <definedName name="IQ_PERCENT_CHANGE_EST_PRICE_TARGET_6MONTHS" hidden="1">"c1842"</definedName>
    <definedName name="IQ_PERCENT_CHANGE_EST_PRICE_TARGET_9MONTHS" hidden="1">"c1843"</definedName>
    <definedName name="IQ_PERCENT_CHANGE_EST_PRICE_TARGET_DAY" hidden="1">"c1838"</definedName>
    <definedName name="IQ_PERCENT_CHANGE_EST_PRICE_TARGET_MONTH" hidden="1">"c1840"</definedName>
    <definedName name="IQ_PERCENT_CHANGE_EST_PRICE_TARGET_WEEK" hidden="1">"c1839"</definedName>
    <definedName name="IQ_PERCENT_CHANGE_EST_RECO_12MONTHS" hidden="1">"c1836"</definedName>
    <definedName name="IQ_PERCENT_CHANGE_EST_RECO_18MONTHS" hidden="1">"c1837"</definedName>
    <definedName name="IQ_PERCENT_CHANGE_EST_RECO_3MONTHS" hidden="1">"c1833"</definedName>
    <definedName name="IQ_PERCENT_CHANGE_EST_RECO_6MONTHS" hidden="1">"c1834"</definedName>
    <definedName name="IQ_PERCENT_CHANGE_EST_RECO_9MONTHS" hidden="1">"c1835"</definedName>
    <definedName name="IQ_PERCENT_CHANGE_EST_RECO_DAY" hidden="1">"c1830"</definedName>
    <definedName name="IQ_PERCENT_CHANGE_EST_RECO_MONTH" hidden="1">"c1832"</definedName>
    <definedName name="IQ_PERCENT_CHANGE_EST_RECO_WEEK" hidden="1">"c1831"</definedName>
    <definedName name="IQ_PERCENT_CHANGE_EST_REV_12MONTHS" hidden="1">"c1796"</definedName>
    <definedName name="IQ_PERCENT_CHANGE_EST_REV_18MONTHS" hidden="1">"c1797"</definedName>
    <definedName name="IQ_PERCENT_CHANGE_EST_REV_3MONTHS" hidden="1">"c1793"</definedName>
    <definedName name="IQ_PERCENT_CHANGE_EST_REV_6MONTHS" hidden="1">"c1794"</definedName>
    <definedName name="IQ_PERCENT_CHANGE_EST_REV_9MONTHS" hidden="1">"c1795"</definedName>
    <definedName name="IQ_PERCENT_CHANGE_EST_REV_DAY" hidden="1">"c1790"</definedName>
    <definedName name="IQ_PERCENT_CHANGE_EST_REV_MONTH" hidden="1">"c1792"</definedName>
    <definedName name="IQ_PERCENT_CHANGE_EST_REV_WEEK" hidden="1">"c1791"</definedName>
    <definedName name="IQ_PERIODDATE" hidden="1">"c1414"</definedName>
    <definedName name="IQ_PERIODDATE_BS" hidden="1">"c1032"</definedName>
    <definedName name="IQ_PERIODDATE_CF" hidden="1">"c1033"</definedName>
    <definedName name="IQ_PERIODDATE_IS" hidden="1">"c1034"</definedName>
    <definedName name="IQ_PERIODLENGTH_CF" hidden="1">"c1502"</definedName>
    <definedName name="IQ_PERIODLENGTH_IS" hidden="1">"c1503"</definedName>
    <definedName name="IQ_PERTYPE" hidden="1">"c1611"</definedName>
    <definedName name="IQ_PLL" hidden="1">"c2114"</definedName>
    <definedName name="IQ_PMT_FREQ" hidden="1">"c2236"</definedName>
    <definedName name="IQ_POISON_PUT_EFFECT_DATE" hidden="1">"c2486"</definedName>
    <definedName name="IQ_POISON_PUT_EXPIRATION_DATE" hidden="1">"c2487"</definedName>
    <definedName name="IQ_POISON_PUT_PRICE" hidden="1">"c2488"</definedName>
    <definedName name="IQ_POLICY_BENEFITS" hidden="1">"c1036"</definedName>
    <definedName name="IQ_POLICY_COST" hidden="1">"c1037"</definedName>
    <definedName name="IQ_POLICY_LIAB" hidden="1">"c1612"</definedName>
    <definedName name="IQ_POLICY_LOANS" hidden="1">"c1038"</definedName>
    <definedName name="IQ_POST_RETIRE_EXP" hidden="1">"c1039"</definedName>
    <definedName name="IQ_POSTPAID_CHURN" hidden="1">"c2121"</definedName>
    <definedName name="IQ_POSTPAID_SUBS" hidden="1">"c2118"</definedName>
    <definedName name="IQ_POTENTIAL_UPSIDE" hidden="1">"c1855"</definedName>
    <definedName name="IQ_PRE_OPEN_COST" hidden="1">"c1040"</definedName>
    <definedName name="IQ_PRE_TAX_ACT_OR_EST" hidden="1">"c2221"</definedName>
    <definedName name="IQ_PREF_CONVERT" hidden="1">"c1041"</definedName>
    <definedName name="IQ_PREF_DIV_CF" hidden="1">"c1042"</definedName>
    <definedName name="IQ_PREF_DIV_OTHER" hidden="1">"c1043"</definedName>
    <definedName name="IQ_PREF_DIVID" hidden="1">"c1461"</definedName>
    <definedName name="IQ_PREF_EQUITY" hidden="1">"c1044"</definedName>
    <definedName name="IQ_PREF_ISSUED" hidden="1">"c1045"</definedName>
    <definedName name="IQ_PREF_ISSUED_BNK" hidden="1">"c1046"</definedName>
    <definedName name="IQ_PREF_ISSUED_BR" hidden="1">"c1047"</definedName>
    <definedName name="IQ_PREF_ISSUED_FIN" hidden="1">"c1048"</definedName>
    <definedName name="IQ_PREF_ISSUED_INS" hidden="1">"c1049"</definedName>
    <definedName name="IQ_PREF_ISSUED_REIT" hidden="1">"c1050"</definedName>
    <definedName name="IQ_PREF_ISSUED_UTI" hidden="1">"c1051"</definedName>
    <definedName name="IQ_PREF_NON_REDEEM" hidden="1">"c1052"</definedName>
    <definedName name="IQ_PREF_OTHER" hidden="1">"c1053"</definedName>
    <definedName name="IQ_PREF_OTHER_BNK" hidden="1">"c1054"</definedName>
    <definedName name="IQ_PREF_OTHER_BR" hidden="1">"c1055"</definedName>
    <definedName name="IQ_PREF_OTHER_FIN" hidden="1">"c1056"</definedName>
    <definedName name="IQ_PREF_OTHER_INS" hidden="1">"c1057"</definedName>
    <definedName name="IQ_PREF_OTHER_REIT" hidden="1">"c1058"</definedName>
    <definedName name="IQ_PREF_REDEEM" hidden="1">"c1059"</definedName>
    <definedName name="IQ_PREF_REP" hidden="1">"c1060"</definedName>
    <definedName name="IQ_PREF_REP_BNK" hidden="1">"c1061"</definedName>
    <definedName name="IQ_PREF_REP_BR" hidden="1">"c1062"</definedName>
    <definedName name="IQ_PREF_REP_FIN" hidden="1">"c1063"</definedName>
    <definedName name="IQ_PREF_REP_INS" hidden="1">"c1064"</definedName>
    <definedName name="IQ_PREF_REP_REIT" hidden="1">"c1065"</definedName>
    <definedName name="IQ_PREF_REP_UTI" hidden="1">"c1066"</definedName>
    <definedName name="IQ_PREF_STOCK" hidden="1">"c1416"</definedName>
    <definedName name="IQ_PREF_TOT" hidden="1">"c1415"</definedName>
    <definedName name="IQ_PREMIUMS_ANNUITY_REV" hidden="1">"c1067"</definedName>
    <definedName name="IQ_PREPAID_CHURN" hidden="1">"c2120"</definedName>
    <definedName name="IQ_PREPAID_EXP" hidden="1">"c1068"</definedName>
    <definedName name="IQ_PREPAID_EXPEN" hidden="1">"c1418"</definedName>
    <definedName name="IQ_PREPAID_SUBS" hidden="1">"c2117"</definedName>
    <definedName name="IQ_PRETAX_GW_INC_EST" hidden="1">"c1702"</definedName>
    <definedName name="IQ_PRETAX_GW_INC_HIGH_EST" hidden="1">"c1704"</definedName>
    <definedName name="IQ_PRETAX_GW_INC_LOW_EST" hidden="1">"c1705"</definedName>
    <definedName name="IQ_PRETAX_GW_INC_MEDIAN_EST" hidden="1">"c1703"</definedName>
    <definedName name="IQ_PRETAX_GW_INC_NUM_EST" hidden="1">"c1706"</definedName>
    <definedName name="IQ_PRETAX_GW_INC_STDDEV_EST" hidden="1">"c1707"</definedName>
    <definedName name="IQ_PRETAX_INC_EST" hidden="1">"c1695"</definedName>
    <definedName name="IQ_PRETAX_INC_HIGH_EST" hidden="1">"c1697"</definedName>
    <definedName name="IQ_PRETAX_INC_LOW_EST" hidden="1">"c1698"</definedName>
    <definedName name="IQ_PRETAX_INC_MEDIAN_EST" hidden="1">"c1696"</definedName>
    <definedName name="IQ_PRETAX_INC_NUM_EST" hidden="1">"c1699"</definedName>
    <definedName name="IQ_PRETAX_INC_STDDEV_EST" hidden="1">"c1700"</definedName>
    <definedName name="IQ_PRETAX_REPORT_INC_EST" hidden="1">"c1709"</definedName>
    <definedName name="IQ_PRETAX_REPORT_INC_HIGH_EST" hidden="1">"c1711"</definedName>
    <definedName name="IQ_PRETAX_REPORT_INC_LOW_EST" hidden="1">"c1712"</definedName>
    <definedName name="IQ_PRETAX_REPORT_INC_MEDIAN_EST" hidden="1">"c1710"</definedName>
    <definedName name="IQ_PRETAX_REPORT_INC_NUM_EST" hidden="1">"c1713"</definedName>
    <definedName name="IQ_PRETAX_REPORT_INC_STDDEV_EST" hidden="1">"c1714"</definedName>
    <definedName name="IQ_PRICE_CFPS_FWD" hidden="1">"c2237"</definedName>
    <definedName name="IQ_PRICE_OVER_BVPS" hidden="1">"c1412"</definedName>
    <definedName name="IQ_PRICE_OVER_LTM_EPS" hidden="1">"c1413"</definedName>
    <definedName name="IQ_PRICE_TARGET" hidden="1">"c82"</definedName>
    <definedName name="IQ_PRICEDATE" hidden="1">"c1069"</definedName>
    <definedName name="IQ_PRICING_DATE" hidden="1">"c1613"</definedName>
    <definedName name="IQ_PRIMARY_INDUSTRY" hidden="1">"c1070"</definedName>
    <definedName name="IQ_PRINCIPAL_AMT" hidden="1">"c2157"</definedName>
    <definedName name="IQ_PRO_FORMA_BASIC_EPS" hidden="1">"c1614"</definedName>
    <definedName name="IQ_PRO_FORMA_DILUT_EPS" hidden="1">"c1615"</definedName>
    <definedName name="IQ_PRO_FORMA_NET_INC" hidden="1">"c1452"</definedName>
    <definedName name="IQ_PROFESSIONAL" hidden="1">"c1071"</definedName>
    <definedName name="IQ_PROFESSIONAL_TITLE" hidden="1">"c1072"</definedName>
    <definedName name="IQ_PROJECTED_PENSION_OBLIGATION" hidden="1">"c1292"</definedName>
    <definedName name="IQ_PROJECTED_PENSION_OBLIGATION_DOMESTIC" hidden="1">"c2656"</definedName>
    <definedName name="IQ_PROJECTED_PENSION_OBLIGATION_FOREIGN" hidden="1">"c2664"</definedName>
    <definedName name="IQ_PROPERTY_EXP" hidden="1">"c1073"</definedName>
    <definedName name="IQ_PROPERTY_GROSS" hidden="1">"c1379"</definedName>
    <definedName name="IQ_PROPERTY_MGMT_FEE" hidden="1">"c1074"</definedName>
    <definedName name="IQ_PROPERTY_NET" hidden="1">"c1402"</definedName>
    <definedName name="IQ_PROV_BAD_DEBTS" hidden="1">"c1075"</definedName>
    <definedName name="IQ_PROV_BAD_DEBTS_CF" hidden="1">"c1076"</definedName>
    <definedName name="IQ_PROVISION_10YR_ANN_GROWTH" hidden="1">"c1077"</definedName>
    <definedName name="IQ_PROVISION_1YR_ANN_GROWTH" hidden="1">"c1078"</definedName>
    <definedName name="IQ_PROVISION_2YR_ANN_GROWTH" hidden="1">"c1079"</definedName>
    <definedName name="IQ_PROVISION_3YR_ANN_GROWTH" hidden="1">"c1080"</definedName>
    <definedName name="IQ_PROVISION_5YR_ANN_GROWTH" hidden="1">"c1081"</definedName>
    <definedName name="IQ_PROVISION_7YR_ANN_GROWTH" hidden="1">"c1082"</definedName>
    <definedName name="IQ_PROVISION_CHARGE_OFFS" hidden="1">"c1083"</definedName>
    <definedName name="IQ_PTBV" hidden="1">"c1084"</definedName>
    <definedName name="IQ_PTBV_AVG" hidden="1">"c1085"</definedName>
    <definedName name="IQ_PUT_DATE_SCHEDULE" hidden="1">"c2483"</definedName>
    <definedName name="IQ_PUT_NOTIFICATION" hidden="1">"c2485"</definedName>
    <definedName name="IQ_PUT_PRICE_SCHEDULE" hidden="1">"c2484"</definedName>
    <definedName name="IQ_QUICK_RATIO" hidden="1">"c1086"</definedName>
    <definedName name="IQ_RATE_COMP_GROWTH_DOMESTIC" hidden="1">"c1087"</definedName>
    <definedName name="IQ_RATE_COMP_GROWTH_FOREIGN" hidden="1">"c1088"</definedName>
    <definedName name="IQ_RAW_INV" hidden="1">"c1089"</definedName>
    <definedName name="IQ_RC" hidden="1">"c2497"</definedName>
    <definedName name="IQ_RC_PCT" hidden="1">"c2498"</definedName>
    <definedName name="IQ_RD_EXP" hidden="1">"c1090"</definedName>
    <definedName name="IQ_RD_EXP_FN" hidden="1">"c1091"</definedName>
    <definedName name="IQ_RE" hidden="1">"c1092"</definedName>
    <definedName name="IQ_REAL_ESTATE" hidden="1">"c1093"</definedName>
    <definedName name="IQ_REAL_ESTATE_ASSETS" hidden="1">"c1094"</definedName>
    <definedName name="IQ_REDEEM_PREF_STOCK" hidden="1">"c1417"</definedName>
    <definedName name="IQ_REG_ASSETS" hidden="1">"c1095"</definedName>
    <definedName name="IQ_REINSUR_PAY" hidden="1">"c1096"</definedName>
    <definedName name="IQ_REINSUR_PAY_CF" hidden="1">"c1097"</definedName>
    <definedName name="IQ_REINSUR_RECOVER" hidden="1">"c1098"</definedName>
    <definedName name="IQ_REINSUR_RECOVER_CF" hidden="1">"c1099"</definedName>
    <definedName name="IQ_REINSURANCE" hidden="1">"c1100"</definedName>
    <definedName name="IQ_RENTAL_REV" hidden="1">"c1101"</definedName>
    <definedName name="IQ_RESEARCH_DEV" hidden="1">"c1419"</definedName>
    <definedName name="IQ_RESIDENTIAL_LOANS" hidden="1">"c1102"</definedName>
    <definedName name="IQ_RESTATEMENT_BS" hidden="1">"c1643"</definedName>
    <definedName name="IQ_RESTATEMENT_CF" hidden="1">"c1644"</definedName>
    <definedName name="IQ_RESTATEMENT_IS" hidden="1">"c1642"</definedName>
    <definedName name="IQ_RESTRICTED_CASH" hidden="1">"c1103"</definedName>
    <definedName name="IQ_RESTRUCTURE" hidden="1">"c1104"</definedName>
    <definedName name="IQ_RESTRUCTURE_BNK" hidden="1">"c1105"</definedName>
    <definedName name="IQ_RESTRUCTURE_BR" hidden="1">"c1106"</definedName>
    <definedName name="IQ_RESTRUCTURE_CF" hidden="1">"c1107"</definedName>
    <definedName name="IQ_RESTRUCTURE_FIN" hidden="1">"c1108"</definedName>
    <definedName name="IQ_RESTRUCTURE_INS" hidden="1">"c1109"</definedName>
    <definedName name="IQ_RESTRUCTURE_REIT" hidden="1">"c1110"</definedName>
    <definedName name="IQ_RESTRUCTURE_UTI" hidden="1">"c1111"</definedName>
    <definedName name="IQ_RESTRUCTURED_LOANS" hidden="1">"c1112"</definedName>
    <definedName name="IQ_RETAIL_ACQUIRED_FRANCHISE_STORES" hidden="1">"c2903"</definedName>
    <definedName name="IQ_RETAIL_ACQUIRED_OWNED_STORES" hidden="1">"c2895"</definedName>
    <definedName name="IQ_RETAIL_ACQUIRED_STORES" hidden="1">"c2887"</definedName>
    <definedName name="IQ_RETAIL_AVG_STORE_SIZE_GROSS" hidden="1">"c2066"</definedName>
    <definedName name="IQ_RETAIL_AVG_STORE_SIZE_NET" hidden="1">"c2067"</definedName>
    <definedName name="IQ_RETAIL_AVG_WK_SALES" hidden="1">"c2891"</definedName>
    <definedName name="IQ_RETAIL_AVG_WK_SALES_FRANCHISE" hidden="1">"c2899"</definedName>
    <definedName name="IQ_RETAIL_AVG_WK_SALES_OWNED" hidden="1">"c2907"</definedName>
    <definedName name="IQ_RETAIL_CLOSED_FRANCHISE_STORES" hidden="1">"c2896"</definedName>
    <definedName name="IQ_RETAIL_CLOSED_OWNED_STORES" hidden="1">"c2904"</definedName>
    <definedName name="IQ_RETAIL_CLOSED_STORES" hidden="1">"c2063"</definedName>
    <definedName name="IQ_RETAIL_FRANCHISE_STORES_BEG" hidden="1">"c2893"</definedName>
    <definedName name="IQ_RETAIL_OPENED_FRANCHISE_STORES" hidden="1">"c2894"</definedName>
    <definedName name="IQ_RETAIL_OPENED_OWNED_STORES" hidden="1">"c2902"</definedName>
    <definedName name="IQ_RETAIL_OPENED_STORES" hidden="1">"c2062"</definedName>
    <definedName name="IQ_RETAIL_OWNED_STORES_BEG" hidden="1">"c2901"</definedName>
    <definedName name="IQ_RETAIL_SALES_SQFT_ALL_GROSS" hidden="1">"c2138"</definedName>
    <definedName name="IQ_RETAIL_SALES_SQFT_ALL_NET" hidden="1">"c2139"</definedName>
    <definedName name="IQ_RETAIL_SALES_SQFT_COMPARABLE_GROSS" hidden="1">"c2136"</definedName>
    <definedName name="IQ_RETAIL_SALES_SQFT_COMPARABLE_NET" hidden="1">"c2137"</definedName>
    <definedName name="IQ_RETAIL_SALES_SQFT_OWNED_GROSS" hidden="1">"c2134"</definedName>
    <definedName name="IQ_RETAIL_SALES_SQFT_OWNED_NET" hidden="1">"c2135"</definedName>
    <definedName name="IQ_RETAIL_SOLD_FRANCHISE_STORES" hidden="1">"c2897"</definedName>
    <definedName name="IQ_RETAIL_SOLD_OWNED_STORES" hidden="1">"c2905"</definedName>
    <definedName name="IQ_RETAIL_SOLD_STORES" hidden="1">"c2889"</definedName>
    <definedName name="IQ_RETAIL_SQ_FOOTAGE" hidden="1">"c2064"</definedName>
    <definedName name="IQ_RETAIL_STORE_SELLING_AREA" hidden="1">"c2065"</definedName>
    <definedName name="IQ_RETAIL_STORES_BEG" hidden="1">"c2885"</definedName>
    <definedName name="IQ_RETAIL_TOTAL_FRANCHISE_STORES" hidden="1">"c2898"</definedName>
    <definedName name="IQ_RETAIL_TOTAL_OWNED_STORES" hidden="1">"c2906"</definedName>
    <definedName name="IQ_RETAIL_TOTAL_STORES" hidden="1">"c2061"</definedName>
    <definedName name="IQ_RETAINED_EARN" hidden="1">"c1420"</definedName>
    <definedName name="IQ_RETURN_ASSETS" hidden="1">"c1113"</definedName>
    <definedName name="IQ_RETURN_ASSETS_BANK" hidden="1">"c1114"</definedName>
    <definedName name="IQ_RETURN_ASSETS_BROK" hidden="1">"c1115"</definedName>
    <definedName name="IQ_RETURN_ASSETS_FS" hidden="1">"c1116"</definedName>
    <definedName name="IQ_RETURN_CAPITAL" hidden="1">"c1117"</definedName>
    <definedName name="IQ_RETURN_EQUITY" hidden="1">"c1118"</definedName>
    <definedName name="IQ_RETURN_EQUITY_BANK" hidden="1">"c1119"</definedName>
    <definedName name="IQ_RETURN_EQUITY_BROK" hidden="1">"c1120"</definedName>
    <definedName name="IQ_RETURN_EQUITY_FS" hidden="1">"c1121"</definedName>
    <definedName name="IQ_RETURN_INVESTMENT" hidden="1">"c1421"</definedName>
    <definedName name="IQ_REV" hidden="1">"c1122"</definedName>
    <definedName name="IQ_REV_BEFORE_LL" hidden="1">"c1123"</definedName>
    <definedName name="IQ_REV_STDDEV_EST" hidden="1">"c1124"</definedName>
    <definedName name="IQ_REV_UTI" hidden="1">"c1125"</definedName>
    <definedName name="IQ_REVENUE" hidden="1">"c1422"</definedName>
    <definedName name="IQ_REVENUE_ACT_OR_EST" hidden="1">"c2214"</definedName>
    <definedName name="IQ_REVENUE_EST" hidden="1">"c1126"</definedName>
    <definedName name="IQ_REVENUE_HIGH_EST" hidden="1">"c1127"</definedName>
    <definedName name="IQ_REVENUE_LOW_EST" hidden="1">"c1128"</definedName>
    <definedName name="IQ_REVENUE_MEDIAN_EST" hidden="1">"c1662"</definedName>
    <definedName name="IQ_REVENUE_NUM_EST" hidden="1">"c1129"</definedName>
    <definedName name="IQ_REVISION_DATE_" hidden="1">39125.817037037</definedName>
    <definedName name="IQ_RISK_ADJ_BANK_ASSETS" hidden="1">"c2670"</definedName>
    <definedName name="IQ_SALARY" hidden="1">"c1130"</definedName>
    <definedName name="IQ_SALE_INTAN_CF" hidden="1">"c1131"</definedName>
    <definedName name="IQ_SALE_INTAN_CF_BNK" hidden="1">"c1132"</definedName>
    <definedName name="IQ_SALE_INTAN_CF_BR" hidden="1">"c1133"</definedName>
    <definedName name="IQ_SALE_INTAN_CF_FIN" hidden="1">"c1134"</definedName>
    <definedName name="IQ_SALE_INTAN_CF_INS" hidden="1">"c1135"</definedName>
    <definedName name="IQ_SALE_INTAN_CF_REIT" hidden="1">"c1627"</definedName>
    <definedName name="IQ_SALE_INTAN_CF_UTI" hidden="1">"c1136"</definedName>
    <definedName name="IQ_SALE_PPE_CF" hidden="1">"c1137"</definedName>
    <definedName name="IQ_SALE_PPE_CF_BNK" hidden="1">"c1138"</definedName>
    <definedName name="IQ_SALE_PPE_CF_BR" hidden="1">"c1139"</definedName>
    <definedName name="IQ_SALE_PPE_CF_FIN" hidden="1">"c1140"</definedName>
    <definedName name="IQ_SALE_PPE_CF_INS" hidden="1">"c1141"</definedName>
    <definedName name="IQ_SALE_PPE_CF_UTI" hidden="1">"c1142"</definedName>
    <definedName name="IQ_SALE_RE_ASSETS" hidden="1">"c1629"</definedName>
    <definedName name="IQ_SALE_REAL_ESTATE_CF" hidden="1">"c1143"</definedName>
    <definedName name="IQ_SALE_REAL_ESTATE_CF_BNK" hidden="1">"c1144"</definedName>
    <definedName name="IQ_SALE_REAL_ESTATE_CF_BR" hidden="1">"c1145"</definedName>
    <definedName name="IQ_SALE_REAL_ESTATE_CF_FIN" hidden="1">"c1146"</definedName>
    <definedName name="IQ_SALE_REAL_ESTATE_CF_INS" hidden="1">"c1147"</definedName>
    <definedName name="IQ_SALE_REAL_ESTATE_CF_UTI" hidden="1">"c1148"</definedName>
    <definedName name="IQ_SALES_MARKETING" hidden="1">"c2240"</definedName>
    <definedName name="IQ_SAME_STORE" hidden="1">"c1149"</definedName>
    <definedName name="IQ_SAME_STORE_FRANCHISE" hidden="1">"c2900"</definedName>
    <definedName name="IQ_SAME_STORE_OWNED" hidden="1">"c2908"</definedName>
    <definedName name="IQ_SAME_STORE_TOTAL" hidden="1">"c2892"</definedName>
    <definedName name="IQ_SAVING_DEP" hidden="1">"c1150"</definedName>
    <definedName name="IQ_SECUR_RECEIV" hidden="1">"c1151"</definedName>
    <definedName name="IQ_SECURED_DEBT" hidden="1">"c2546"</definedName>
    <definedName name="IQ_SECURED_DEBT_PCT" hidden="1">"c2547"</definedName>
    <definedName name="IQ_SECURITY_BORROW" hidden="1">"c1152"</definedName>
    <definedName name="IQ_SECURITY_LEVEL" hidden="1">"c2159"</definedName>
    <definedName name="IQ_SECURITY_NOTES" hidden="1">"c2202"</definedName>
    <definedName name="IQ_SECURITY_OWN" hidden="1">"c1153"</definedName>
    <definedName name="IQ_SECURITY_RESELL" hidden="1">"c1154"</definedName>
    <definedName name="IQ_SECURITY_TYPE" hidden="1">"c2158"</definedName>
    <definedName name="IQ_SEPARATE_ACCT_ASSETS" hidden="1">"c1155"</definedName>
    <definedName name="IQ_SEPARATE_ACCT_LIAB" hidden="1">"c1156"</definedName>
    <definedName name="IQ_SERV_CHARGE_DEPOSITS" hidden="1">"c1157"</definedName>
    <definedName name="IQ_SGA" hidden="1">"c1158"</definedName>
    <definedName name="IQ_SGA_BNK" hidden="1">"c1159"</definedName>
    <definedName name="IQ_SGA_INS" hidden="1">"c1160"</definedName>
    <definedName name="IQ_SGA_MARGIN" hidden="1">"c1898"</definedName>
    <definedName name="IQ_SGA_REIT" hidden="1">"c1161"</definedName>
    <definedName name="IQ_SGA_SUPPL" hidden="1">"c1162"</definedName>
    <definedName name="IQ_SGA_UTI" hidden="1">"c1163"</definedName>
    <definedName name="IQ_SHAREOUTSTANDING" hidden="1">"c1347"</definedName>
    <definedName name="IQ_SHARESOUTSTANDING" hidden="1">"c1164"</definedName>
    <definedName name="IQ_SHORT_INTEREST" hidden="1">"c1165"</definedName>
    <definedName name="IQ_SHORT_INTEREST_OVER_FLOAT" hidden="1">"c1577"</definedName>
    <definedName name="IQ_SHORT_INTEREST_PERCENT" hidden="1">"c1576"</definedName>
    <definedName name="IQ_SHORT_TERM_INVEST" hidden="1">"c1425"</definedName>
    <definedName name="IQ_SMALL_INT_BEAR_CD" hidden="1">"c1166"</definedName>
    <definedName name="IQ_SOFTWARE" hidden="1">"c1167"</definedName>
    <definedName name="IQ_SOURCE" hidden="1">"c1168"</definedName>
    <definedName name="IQ_SP" hidden="1">"c2171"</definedName>
    <definedName name="IQ_SP_BANK" hidden="1">"c2637"</definedName>
    <definedName name="IQ_SP_BANK_ACTION" hidden="1">"c2636"</definedName>
    <definedName name="IQ_SP_BANK_DATE" hidden="1">"c2635"</definedName>
    <definedName name="IQ_SP_DATE" hidden="1">"c2172"</definedName>
    <definedName name="IQ_SP_FIN_ENHANCE_FX" hidden="1">"c2631"</definedName>
    <definedName name="IQ_SP_FIN_ENHANCE_FX_ACTION" hidden="1">"c2630"</definedName>
    <definedName name="IQ_SP_FIN_ENHANCE_FX_DATE" hidden="1">"c2629"</definedName>
    <definedName name="IQ_SP_FIN_ENHANCE_LC" hidden="1">"c2634"</definedName>
    <definedName name="IQ_SP_FIN_ENHANCE_LC_ACTION" hidden="1">"c2633"</definedName>
    <definedName name="IQ_SP_FIN_ENHANCE_LC_DATE" hidden="1">"c2632"</definedName>
    <definedName name="IQ_SP_FIN_STRENGTH_LC_ACTION_LT" hidden="1">"c2625"</definedName>
    <definedName name="IQ_SP_FIN_STRENGTH_LC_ACTION_ST" hidden="1">"c2626"</definedName>
    <definedName name="IQ_SP_FIN_STRENGTH_LC_DATE_LT" hidden="1">"c2623"</definedName>
    <definedName name="IQ_SP_FIN_STRENGTH_LC_DATE_ST" hidden="1">"c2624"</definedName>
    <definedName name="IQ_SP_FIN_STRENGTH_LC_LT" hidden="1">"c2627"</definedName>
    <definedName name="IQ_SP_FIN_STRENGTH_LC_ST" hidden="1">"c2628"</definedName>
    <definedName name="IQ_SP_FX_ACTION_LT" hidden="1">"c2613"</definedName>
    <definedName name="IQ_SP_FX_ACTION_ST" hidden="1">"c2614"</definedName>
    <definedName name="IQ_SP_FX_DATE_LT" hidden="1">"c2611"</definedName>
    <definedName name="IQ_SP_FX_DATE_ST" hidden="1">"c2612"</definedName>
    <definedName name="IQ_SP_FX_LT" hidden="1">"c2615"</definedName>
    <definedName name="IQ_SP_FX_ST" hidden="1">"c2616"</definedName>
    <definedName name="IQ_SP_ISSUE_ACTION" hidden="1">"c2644"</definedName>
    <definedName name="IQ_SP_ISSUE_DATE" hidden="1">"c2643"</definedName>
    <definedName name="IQ_SP_ISSUE_LT" hidden="1">"c2645"</definedName>
    <definedName name="IQ_SP_ISSUE_OUTLOOK_WATCH" hidden="1">"c2650"</definedName>
    <definedName name="IQ_SP_ISSUE_OUTLOOK_WATCH_DATE" hidden="1">"c2649"</definedName>
    <definedName name="IQ_SP_ISSUE_RECOVER" hidden="1">"c2648"</definedName>
    <definedName name="IQ_SP_ISSUE_RECOVER_ACTION" hidden="1">"c2647"</definedName>
    <definedName name="IQ_SP_ISSUE_RECOVER_DATE" hidden="1">"c2646"</definedName>
    <definedName name="IQ_SP_LC_ACTION_LT" hidden="1">"c2619"</definedName>
    <definedName name="IQ_SP_LC_ACTION_ST" hidden="1">"c2620"</definedName>
    <definedName name="IQ_SP_LC_DATE_LT" hidden="1">"c2617"</definedName>
    <definedName name="IQ_SP_LC_DATE_ST" hidden="1">"c2618"</definedName>
    <definedName name="IQ_SP_LC_LT" hidden="1">"c2621"</definedName>
    <definedName name="IQ_SP_LC_ST" hidden="1">"c2622"</definedName>
    <definedName name="IQ_SP_OUTLOOK_WATCH" hidden="1">"c2639"</definedName>
    <definedName name="IQ_SP_OUTLOOK_WATCH_DATE" hidden="1">"c2638"</definedName>
    <definedName name="IQ_SP_REASON" hidden="1">"c2174"</definedName>
    <definedName name="IQ_SP_STATUS" hidden="1">"c2173"</definedName>
    <definedName name="IQ_SPECIAL_DIV_CF" hidden="1">"c1169"</definedName>
    <definedName name="IQ_SPECIAL_DIV_CF_BNK" hidden="1">"c1170"</definedName>
    <definedName name="IQ_SPECIAL_DIV_CF_BR" hidden="1">"c1171"</definedName>
    <definedName name="IQ_SPECIAL_DIV_CF_FIN" hidden="1">"c1172"</definedName>
    <definedName name="IQ_SPECIAL_DIV_CF_INS" hidden="1">"c1173"</definedName>
    <definedName name="IQ_SPECIAL_DIV_CF_REIT" hidden="1">"c1174"</definedName>
    <definedName name="IQ_SPECIAL_DIV_CF_UTI" hidden="1">"c1175"</definedName>
    <definedName name="IQ_SPECIAL_DIV_SHARE" hidden="1">"c3007"</definedName>
    <definedName name="IQ_SR_BONDS_NOTES" hidden="1">"c2501"</definedName>
    <definedName name="IQ_SR_BONDS_NOTES_PCT" hidden="1">"c2502"</definedName>
    <definedName name="IQ_SR_DEBT" hidden="1">"c2526"</definedName>
    <definedName name="IQ_SR_DEBT_EBITDA" hidden="1">"c2552"</definedName>
    <definedName name="IQ_SR_DEBT_EBITDA_CAPEX" hidden="1">"c2553"</definedName>
    <definedName name="IQ_SR_DEBT_PCT" hidden="1">"c2527"</definedName>
    <definedName name="IQ_SR_SUB_DEBT" hidden="1">"c2530"</definedName>
    <definedName name="IQ_SR_SUB_DEBT_EBITDA" hidden="1">"c2556"</definedName>
    <definedName name="IQ_SR_SUB_DEBT_EBITDA_CAPEX" hidden="1">"c2557"</definedName>
    <definedName name="IQ_SR_SUB_DEBT_PCT" hidden="1">"c2531"</definedName>
    <definedName name="IQ_ST_DEBT" hidden="1">"c1176"</definedName>
    <definedName name="IQ_ST_DEBT_BNK" hidden="1">"c1177"</definedName>
    <definedName name="IQ_ST_DEBT_BR" hidden="1">"c1178"</definedName>
    <definedName name="IQ_ST_DEBT_FIN" hidden="1">"c1179"</definedName>
    <definedName name="IQ_ST_DEBT_INS" hidden="1">"c1180"</definedName>
    <definedName name="IQ_ST_DEBT_ISSUED" hidden="1">"c1181"</definedName>
    <definedName name="IQ_ST_DEBT_ISSUED_BNK" hidden="1">"c1182"</definedName>
    <definedName name="IQ_ST_DEBT_ISSUED_BR" hidden="1">"c1183"</definedName>
    <definedName name="IQ_ST_DEBT_ISSUED_FIN" hidden="1">"c1184"</definedName>
    <definedName name="IQ_ST_DEBT_ISSUED_INS" hidden="1">"c1185"</definedName>
    <definedName name="IQ_ST_DEBT_ISSUED_REIT" hidden="1">"c1186"</definedName>
    <definedName name="IQ_ST_DEBT_ISSUED_UTI" hidden="1">"c1187"</definedName>
    <definedName name="IQ_ST_DEBT_PCT" hidden="1">"c2539"</definedName>
    <definedName name="IQ_ST_DEBT_REIT" hidden="1">"c1188"</definedName>
    <definedName name="IQ_ST_DEBT_REPAID" hidden="1">"c1189"</definedName>
    <definedName name="IQ_ST_DEBT_REPAID_BNK" hidden="1">"c1190"</definedName>
    <definedName name="IQ_ST_DEBT_REPAID_BR" hidden="1">"c1191"</definedName>
    <definedName name="IQ_ST_DEBT_REPAID_FIN" hidden="1">"c1192"</definedName>
    <definedName name="IQ_ST_DEBT_REPAID_INS" hidden="1">"c1193"</definedName>
    <definedName name="IQ_ST_DEBT_REPAID_REIT" hidden="1">"c1194"</definedName>
    <definedName name="IQ_ST_DEBT_REPAID_UTI" hidden="1">"c1195"</definedName>
    <definedName name="IQ_ST_DEBT_UTI" hidden="1">"c1196"</definedName>
    <definedName name="IQ_ST_INVEST" hidden="1">"c1197"</definedName>
    <definedName name="IQ_ST_INVEST_UTI" hidden="1">"c1198"</definedName>
    <definedName name="IQ_ST_NOTE_RECEIV" hidden="1">"c1199"</definedName>
    <definedName name="IQ_STATE" hidden="1">"c1200"</definedName>
    <definedName name="IQ_STATUTORY_SURPLUS" hidden="1">"c1201"</definedName>
    <definedName name="IQ_STOCK_BASED" hidden="1">"c1202"</definedName>
    <definedName name="IQ_STOCK_BASED_AT" hidden="1">"c2999"</definedName>
    <definedName name="IQ_STOCK_BASED_CF" hidden="1">"c1203"</definedName>
    <definedName name="IQ_STOCK_BASED_COGS" hidden="1">"c2990"</definedName>
    <definedName name="IQ_STOCK_BASED_GA" hidden="1">"c2993"</definedName>
    <definedName name="IQ_STOCK_BASED_OTHER" hidden="1">"c2995"</definedName>
    <definedName name="IQ_STOCK_BASED_RD" hidden="1">"c2991"</definedName>
    <definedName name="IQ_STOCK_BASED_SGA" hidden="1">"c2994"</definedName>
    <definedName name="IQ_STOCK_BASED_SM" hidden="1">"c2992"</definedName>
    <definedName name="IQ_STOCK_BASED_TOTAL" hidden="1">"c3040"</definedName>
    <definedName name="IQ_STRIKE_PRICE_ISSUED" hidden="1">"c1645"</definedName>
    <definedName name="IQ_STRIKE_PRICE_OS" hidden="1">"c1646"</definedName>
    <definedName name="IQ_STW" hidden="1">"c2166"</definedName>
    <definedName name="IQ_SUB_BONDS_NOTES" hidden="1">"c2503"</definedName>
    <definedName name="IQ_SUB_BONDS_NOTES_PCT" hidden="1">"c2504"</definedName>
    <definedName name="IQ_SUB_DEBT" hidden="1">"c2532"</definedName>
    <definedName name="IQ_SUB_DEBT_EBITDA" hidden="1">"c2558"</definedName>
    <definedName name="IQ_SUB_DEBT_EBITDA_CAPEX" hidden="1">"c2559"</definedName>
    <definedName name="IQ_SUB_DEBT_PCT" hidden="1">"c2533"</definedName>
    <definedName name="IQ_SUB_LEASE_AFTER_FIVE" hidden="1">"c1207"</definedName>
    <definedName name="IQ_SUB_LEASE_INC_CY" hidden="1">"c1208"</definedName>
    <definedName name="IQ_SUB_LEASE_INC_CY1" hidden="1">"c1209"</definedName>
    <definedName name="IQ_SUB_LEASE_INC_CY2" hidden="1">"c1210"</definedName>
    <definedName name="IQ_SUB_LEASE_INC_CY3" hidden="1">"c1211"</definedName>
    <definedName name="IQ_SUB_LEASE_INC_CY4" hidden="1">"c1212"</definedName>
    <definedName name="IQ_SUB_LEASE_NEXT_FIVE" hidden="1">"c1213"</definedName>
    <definedName name="IQ_SVA" hidden="1">"c1214"</definedName>
    <definedName name="IQ_TARGET_PRICE_NUM" hidden="1">"c1653"</definedName>
    <definedName name="IQ_TARGET_PRICE_STDDEV" hidden="1">"c1654"</definedName>
    <definedName name="IQ_TAX_BENEFIT_OPTIONS" hidden="1">"c1215"</definedName>
    <definedName name="IQ_TAX_EQUIV_NET_INT_INC" hidden="1">"c1216"</definedName>
    <definedName name="IQ_TBV" hidden="1">"c1906"</definedName>
    <definedName name="IQ_TBV_10YR_ANN_GROWTH" hidden="1">"c1936"</definedName>
    <definedName name="IQ_TBV_1YR_ANN_GROWTH" hidden="1">"c1931"</definedName>
    <definedName name="IQ_TBV_2YR_ANN_GROWTH" hidden="1">"c1932"</definedName>
    <definedName name="IQ_TBV_3YR_ANN_GROWTH" hidden="1">"c1933"</definedName>
    <definedName name="IQ_TBV_5YR_ANN_GROWTH" hidden="1">"c1934"</definedName>
    <definedName name="IQ_TBV_7YR_ANN_GROWTH" hidden="1">"c1935"</definedName>
    <definedName name="IQ_TBV_SHARE" hidden="1">"c1217"</definedName>
    <definedName name="IQ_TEMPLATE" hidden="1">"c1521"</definedName>
    <definedName name="IQ_TENANT" hidden="1">"c1218"</definedName>
    <definedName name="IQ_TERM_LOANS" hidden="1">"c2499"</definedName>
    <definedName name="IQ_TERM_LOANS_PCT" hidden="1">"c2500"</definedName>
    <definedName name="IQ_TEV" hidden="1">"c1219"</definedName>
    <definedName name="IQ_TEV_EBIT" hidden="1">"c1220"</definedName>
    <definedName name="IQ_TEV_EBIT_AVG" hidden="1">"c1221"</definedName>
    <definedName name="IQ_TEV_EBIT_FWD" hidden="1">"c2238"</definedName>
    <definedName name="IQ_TEV_EBITDA" hidden="1">"c1222"</definedName>
    <definedName name="IQ_TEV_EBITDA_AVG" hidden="1">"c1223"</definedName>
    <definedName name="IQ_TEV_EBITDA_FWD" hidden="1">"c1224"</definedName>
    <definedName name="IQ_TEV_EMPLOYEE_AVG" hidden="1">"c1225"</definedName>
    <definedName name="IQ_TEV_TOTAL_REV" hidden="1">"c1226"</definedName>
    <definedName name="IQ_TEV_TOTAL_REV_AVG" hidden="1">"c1227"</definedName>
    <definedName name="IQ_TEV_TOTAL_REV_FWD" hidden="1">"c1228"</definedName>
    <definedName name="IQ_TEV_UFCF" hidden="1">"c2208"</definedName>
    <definedName name="IQ_TIER_ONE_CAPITAL" hidden="1">"c2667"</definedName>
    <definedName name="IQ_TIER_ONE_RATIO" hidden="1">"c1229"</definedName>
    <definedName name="IQ_TIER_TWO_CAPITAL" hidden="1">"c2669"</definedName>
    <definedName name="IQ_TIME_DEP" hidden="1">"c1230"</definedName>
    <definedName name="IQ_TODAY" hidden="1">0</definedName>
    <definedName name="IQ_TOT_ADJ_INC" hidden="1">"c1616"</definedName>
    <definedName name="IQ_TOTAL_AR_BR" hidden="1">"c1231"</definedName>
    <definedName name="IQ_TOTAL_AR_REIT" hidden="1">"c1232"</definedName>
    <definedName name="IQ_TOTAL_AR_UTI" hidden="1">"c1233"</definedName>
    <definedName name="IQ_TOTAL_ASSETS" hidden="1">"c1234"</definedName>
    <definedName name="IQ_TOTAL_ASSETS_10YR_ANN_GROWTH" hidden="1">"c1235"</definedName>
    <definedName name="IQ_TOTAL_ASSETS_1YR_ANN_GROWTH" hidden="1">"c1236"</definedName>
    <definedName name="IQ_TOTAL_ASSETS_2YR_ANN_GROWTH" hidden="1">"c1237"</definedName>
    <definedName name="IQ_TOTAL_ASSETS_3YR_ANN_GROWTH" hidden="1">"c1238"</definedName>
    <definedName name="IQ_TOTAL_ASSETS_5YR_ANN_GROWTH" hidden="1">"c1239"</definedName>
    <definedName name="IQ_TOTAL_ASSETS_7YR_ANN_GROWTH" hidden="1">"c1240"</definedName>
    <definedName name="IQ_TOTAL_AVG_CE_TOTAL_AVG_ASSETS" hidden="1">"c1241"</definedName>
    <definedName name="IQ_TOTAL_AVG_EQUITY_TOTAL_AVG_ASSETS" hidden="1">"c1242"</definedName>
    <definedName name="IQ_TOTAL_BANK_CAPITAL" hidden="1">"c2668"</definedName>
    <definedName name="IQ_TOTAL_CA" hidden="1">"c1243"</definedName>
    <definedName name="IQ_TOTAL_CAP" hidden="1">"c1507"</definedName>
    <definedName name="IQ_TOTAL_CAPITAL_RATIO" hidden="1">"c1244"</definedName>
    <definedName name="IQ_TOTAL_CASH_DIVID" hidden="1">"c1455"</definedName>
    <definedName name="IQ_TOTAL_CASH_FINAN" hidden="1">"c1352"</definedName>
    <definedName name="IQ_TOTAL_CASH_INVEST" hidden="1">"c1353"</definedName>
    <definedName name="IQ_TOTAL_CASH_OPER" hidden="1">"c1354"</definedName>
    <definedName name="IQ_TOTAL_CHURN" hidden="1">"c2122"</definedName>
    <definedName name="IQ_TOTAL_CL" hidden="1">"c1245"</definedName>
    <definedName name="IQ_TOTAL_COMMON" hidden="1">"c1411"</definedName>
    <definedName name="IQ_TOTAL_COMMON_EQUITY" hidden="1">"c1246"</definedName>
    <definedName name="IQ_TOTAL_CURRENT_ASSETS" hidden="1">"c1430"</definedName>
    <definedName name="IQ_TOTAL_CURRENT_LIAB" hidden="1">"c1431"</definedName>
    <definedName name="IQ_TOTAL_DEBT" hidden="1">"c1247"</definedName>
    <definedName name="IQ_TOTAL_DEBT_CAPITAL" hidden="1">"c1248"</definedName>
    <definedName name="IQ_TOTAL_DEBT_EBITDA" hidden="1">"c1249"</definedName>
    <definedName name="IQ_TOTAL_DEBT_EBITDA_CAPEX" hidden="1">"c2948"</definedName>
    <definedName name="IQ_TOTAL_DEBT_EQUITY" hidden="1">"c1250"</definedName>
    <definedName name="IQ_TOTAL_DEBT_EXCL_FIN" hidden="1">"c2937"</definedName>
    <definedName name="IQ_TOTAL_DEBT_ISSUED" hidden="1">"c1251"</definedName>
    <definedName name="IQ_TOTAL_DEBT_ISSUED_BNK" hidden="1">"c1252"</definedName>
    <definedName name="IQ_TOTAL_DEBT_ISSUED_BR" hidden="1">"c1253"</definedName>
    <definedName name="IQ_TOTAL_DEBT_ISSUED_FIN" hidden="1">"c1254"</definedName>
    <definedName name="IQ_TOTAL_DEBT_ISSUED_REIT" hidden="1">"c1255"</definedName>
    <definedName name="IQ_TOTAL_DEBT_ISSUED_UTI" hidden="1">"c1256"</definedName>
    <definedName name="IQ_TOTAL_DEBT_ISSUES_INS" hidden="1">"c1257"</definedName>
    <definedName name="IQ_TOTAL_DEBT_OVER_EBITDA" hidden="1">"c1433"</definedName>
    <definedName name="IQ_TOTAL_DEBT_OVER_TOTAL_BV" hidden="1">"c1434"</definedName>
    <definedName name="IQ_TOTAL_DEBT_OVER_TOTAL_CAP" hidden="1">"c1432"</definedName>
    <definedName name="IQ_TOTAL_DEBT_REPAID" hidden="1">"c1258"</definedName>
    <definedName name="IQ_TOTAL_DEBT_REPAID_BNK" hidden="1">"c1259"</definedName>
    <definedName name="IQ_TOTAL_DEBT_REPAID_BR" hidden="1">"c1260"</definedName>
    <definedName name="IQ_TOTAL_DEBT_REPAID_FIN" hidden="1">"c1261"</definedName>
    <definedName name="IQ_TOTAL_DEBT_REPAID_INS" hidden="1">"c1262"</definedName>
    <definedName name="IQ_TOTAL_DEBT_REPAID_REIT" hidden="1">"c1263"</definedName>
    <definedName name="IQ_TOTAL_DEBT_REPAID_UTI" hidden="1">"c1264"</definedName>
    <definedName name="IQ_TOTAL_DEPOSITS" hidden="1">"c1265"</definedName>
    <definedName name="IQ_TOTAL_DIV_PAID_CF" hidden="1">"c1266"</definedName>
    <definedName name="IQ_TOTAL_EMPLOYEE" hidden="1">"c2141"</definedName>
    <definedName name="IQ_TOTAL_EMPLOYEES" hidden="1">"c1522"</definedName>
    <definedName name="IQ_TOTAL_EQUITY" hidden="1">"c1267"</definedName>
    <definedName name="IQ_TOTAL_EQUITY_10YR_ANN_GROWTH" hidden="1">"c1268"</definedName>
    <definedName name="IQ_TOTAL_EQUITY_1YR_ANN_GROWTH" hidden="1">"c1269"</definedName>
    <definedName name="IQ_TOTAL_EQUITY_2YR_ANN_GROWTH" hidden="1">"c1270"</definedName>
    <definedName name="IQ_TOTAL_EQUITY_3YR_ANN_GROWTH" hidden="1">"c1271"</definedName>
    <definedName name="IQ_TOTAL_EQUITY_5YR_ANN_GROWTH" hidden="1">"c1272"</definedName>
    <definedName name="IQ_TOTAL_EQUITY_7YR_ANN_GROWTH" hidden="1">"c1273"</definedName>
    <definedName name="IQ_TOTAL_EQUITY_ALLOWANCE_TOTAL_LOANS" hidden="1">"c1274"</definedName>
    <definedName name="IQ_TOTAL_INTEREST_EXP" hidden="1">"c1382"</definedName>
    <definedName name="IQ_TOTAL_INVENTORY" hidden="1">"c1385"</definedName>
    <definedName name="IQ_TOTAL_INVEST" hidden="1">"c1275"</definedName>
    <definedName name="IQ_TOTAL_LIAB" hidden="1">"c1276"</definedName>
    <definedName name="IQ_TOTAL_LIAB_BNK" hidden="1">"c1277"</definedName>
    <definedName name="IQ_TOTAL_LIAB_BR" hidden="1">"c1278"</definedName>
    <definedName name="IQ_TOTAL_LIAB_EQUITY" hidden="1">"c1279"</definedName>
    <definedName name="IQ_TOTAL_LIAB_FIN" hidden="1">"c1280"</definedName>
    <definedName name="IQ_TOTAL_LIAB_INS" hidden="1">"c1281"</definedName>
    <definedName name="IQ_TOTAL_LIAB_REIT" hidden="1">"c1282"</definedName>
    <definedName name="IQ_TOTAL_LIAB_SHAREHOLD" hidden="1">"c1435"</definedName>
    <definedName name="IQ_TOTAL_LIAB_TOTAL_ASSETS" hidden="1">"c1283"</definedName>
    <definedName name="IQ_TOTAL_LONG_DEBT" hidden="1">"c1617"</definedName>
    <definedName name="IQ_TOTAL_NON_REC" hidden="1">"c1444"</definedName>
    <definedName name="IQ_TOTAL_OPER_EXP_BR" hidden="1">"c1284"</definedName>
    <definedName name="IQ_TOTAL_OPER_EXP_FIN" hidden="1">"c1285"</definedName>
    <definedName name="IQ_TOTAL_OPER_EXP_INS" hidden="1">"c1286"</definedName>
    <definedName name="IQ_TOTAL_OPER_EXP_REIT" hidden="1">"c1287"</definedName>
    <definedName name="IQ_TOTAL_OPER_EXP_UTI" hidden="1">"c1288"</definedName>
    <definedName name="IQ_TOTAL_OPER_EXPEN" hidden="1">"c1445"</definedName>
    <definedName name="IQ_TOTAL_OPTIONS_BEG_OS" hidden="1">"c2693"</definedName>
    <definedName name="IQ_TOTAL_OPTIONS_CANCELLED" hidden="1">"c2696"</definedName>
    <definedName name="IQ_TOTAL_OPTIONS_END_OS" hidden="1">"c2697"</definedName>
    <definedName name="IQ_TOTAL_OPTIONS_EXERCISED" hidden="1">"c2695"</definedName>
    <definedName name="IQ_TOTAL_OPTIONS_GRANTED" hidden="1">"c2694"</definedName>
    <definedName name="IQ_TOTAL_OTHER_OPER" hidden="1">"c1289"</definedName>
    <definedName name="IQ_TOTAL_OUTSTANDING_BS_DATE" hidden="1">"c1022"</definedName>
    <definedName name="IQ_TOTAL_OUTSTANDING_FILING_DATE" hidden="1">"c2107"</definedName>
    <definedName name="IQ_TOTAL_PENSION_ASSETS" hidden="1">"c1290"</definedName>
    <definedName name="IQ_TOTAL_PENSION_ASSETS_DOMESTIC" hidden="1">"c2658"</definedName>
    <definedName name="IQ_TOTAL_PENSION_ASSETS_FOREIGN" hidden="1">"c2666"</definedName>
    <definedName name="IQ_TOTAL_PENSION_EXP" hidden="1">"c1291"</definedName>
    <definedName name="IQ_TOTAL_PENSION_OBLIGATION" hidden="1">"c1292"</definedName>
    <definedName name="IQ_TOTAL_PRINCIPAL" hidden="1">"c2509"</definedName>
    <definedName name="IQ_TOTAL_PRINCIPAL_PCT" hidden="1">"c2510"</definedName>
    <definedName name="IQ_TOTAL_PROVED_RESERVES_NGL" hidden="1">"c2924"</definedName>
    <definedName name="IQ_TOTAL_PROVED_RESERVES_OIL" hidden="1">"c2040"</definedName>
    <definedName name="IQ_TOTAL_RECEIV" hidden="1">"c1293"</definedName>
    <definedName name="IQ_TOTAL_REV" hidden="1">"c1294"</definedName>
    <definedName name="IQ_TOTAL_REV_10YR_ANN_GROWTH" hidden="1">"c1295"</definedName>
    <definedName name="IQ_TOTAL_REV_1YR_ANN_GROWTH" hidden="1">"c1296"</definedName>
    <definedName name="IQ_TOTAL_REV_2YR_ANN_GROWTH" hidden="1">"c1297"</definedName>
    <definedName name="IQ_TOTAL_REV_3YR_ANN_GROWTH" hidden="1">"c1298"</definedName>
    <definedName name="IQ_TOTAL_REV_5YR_ANN_GROWTH" hidden="1">"c1299"</definedName>
    <definedName name="IQ_TOTAL_REV_7YR_ANN_GROWTH" hidden="1">"c1300"</definedName>
    <definedName name="IQ_TOTAL_REV_AS_REPORTED" hidden="1">"c1301"</definedName>
    <definedName name="IQ_TOTAL_REV_BNK" hidden="1">"c1302"</definedName>
    <definedName name="IQ_TOTAL_REV_BR" hidden="1">"c1303"</definedName>
    <definedName name="IQ_TOTAL_REV_EMPLOYEE" hidden="1">"c1304"</definedName>
    <definedName name="IQ_TOTAL_REV_FIN" hidden="1">"c1305"</definedName>
    <definedName name="IQ_TOTAL_REV_INS" hidden="1">"c1306"</definedName>
    <definedName name="IQ_TOTAL_REV_REIT" hidden="1">"c1307"</definedName>
    <definedName name="IQ_TOTAL_REV_SHARE" hidden="1">"c1912"</definedName>
    <definedName name="IQ_TOTAL_REV_UTI" hidden="1">"c1308"</definedName>
    <definedName name="IQ_TOTAL_REVENUE" hidden="1">"c1436"</definedName>
    <definedName name="IQ_TOTAL_SPECIAL" hidden="1">"c1618"</definedName>
    <definedName name="IQ_TOTAL_ST_BORROW" hidden="1">"c1424"</definedName>
    <definedName name="IQ_TOTAL_SUB_DEBT" hidden="1">"c2528"</definedName>
    <definedName name="IQ_TOTAL_SUB_DEBT_EBITDA" hidden="1">"c2554"</definedName>
    <definedName name="IQ_TOTAL_SUB_DEBT_EBITDA_CAPEX" hidden="1">"c2555"</definedName>
    <definedName name="IQ_TOTAL_SUB_DEBT_PCT" hidden="1">"c2529"</definedName>
    <definedName name="IQ_TOTAL_SUBS" hidden="1">"c2119"</definedName>
    <definedName name="IQ_TOTAL_UNUSUAL" hidden="1">"c1508"</definedName>
    <definedName name="IQ_TOTAL_WARRANTS_BEG_OS" hidden="1">"c2719"</definedName>
    <definedName name="IQ_TOTAL_WARRANTS_CANCELLED" hidden="1">"c2722"</definedName>
    <definedName name="IQ_TOTAL_WARRANTS_END_OS" hidden="1">"c2723"</definedName>
    <definedName name="IQ_TOTAL_WARRANTS_EXERCISED" hidden="1">"c2721"</definedName>
    <definedName name="IQ_TOTAL_WARRANTS_ISSUED" hidden="1">"c2720"</definedName>
    <definedName name="IQ_TR_ACCT_METHOD" hidden="1">"c2363"</definedName>
    <definedName name="IQ_TR_ACQ_52_WK_HI_PCT" hidden="1">"c2348"</definedName>
    <definedName name="IQ_TR_ACQ_52_WK_LOW_PCT" hidden="1">"c2347"</definedName>
    <definedName name="IQ_TR_ACQ_CASH_ST_INVEST" hidden="1">"c2372"</definedName>
    <definedName name="IQ_TR_ACQ_CLOSEPRICE_1D" hidden="1">"c3027"</definedName>
    <definedName name="IQ_TR_ACQ_DILUT_EPS_EXCL" hidden="1">"c3028"</definedName>
    <definedName name="IQ_TR_ACQ_EARNING_CO" hidden="1">"c2379"</definedName>
    <definedName name="IQ_TR_ACQ_EBIT" hidden="1">"c2380"</definedName>
    <definedName name="IQ_TR_ACQ_EBITDA" hidden="1">"c2381"</definedName>
    <definedName name="IQ_TR_ACQ_FILING_CURRENCY" hidden="1">"c3033"</definedName>
    <definedName name="IQ_TR_ACQ_MCAP_1DAY" hidden="1">"c2345"</definedName>
    <definedName name="IQ_TR_ACQ_MIN_INT" hidden="1">"c2374"</definedName>
    <definedName name="IQ_TR_ACQ_NET_DEBT" hidden="1">"c2373"</definedName>
    <definedName name="IQ_TR_ACQ_NI" hidden="1">"c2378"</definedName>
    <definedName name="IQ_TR_ACQ_PRICEDATE_1D" hidden="1">"c2346"</definedName>
    <definedName name="IQ_TR_ACQ_RETURN" hidden="1">"c2349"</definedName>
    <definedName name="IQ_TR_ACQ_STOCKYEARHIGH_1D" hidden="1">"c2343"</definedName>
    <definedName name="IQ_TR_ACQ_STOCKYEARLOW_1D" hidden="1">"c2344"</definedName>
    <definedName name="IQ_TR_ACQ_TOTAL_ASSETS" hidden="1">"c2371"</definedName>
    <definedName name="IQ_TR_ACQ_TOTAL_COMMON_EQ" hidden="1">"c2377"</definedName>
    <definedName name="IQ_TR_ACQ_TOTAL_DEBT" hidden="1">"c2376"</definedName>
    <definedName name="IQ_TR_ACQ_TOTAL_PREF" hidden="1">"c2375"</definedName>
    <definedName name="IQ_TR_ACQ_TOTAL_REV" hidden="1">"c2382"</definedName>
    <definedName name="IQ_TR_ADJ_SIZE" hidden="1">"c3024"</definedName>
    <definedName name="IQ_TR_ANN_DATE" hidden="1">"c2395"</definedName>
    <definedName name="IQ_TR_ANN_DATE_BL" hidden="1">"c2394"</definedName>
    <definedName name="IQ_TR_BID_DATE" hidden="1">"c2357"</definedName>
    <definedName name="IQ_TR_BLUESKY_FEES" hidden="1">"c2277"</definedName>
    <definedName name="IQ_TR_BUY_ACC_ADVISORS" hidden="1">"c3048"</definedName>
    <definedName name="IQ_TR_BUY_FIN_ADVISORS" hidden="1">"c3045"</definedName>
    <definedName name="IQ_TR_BUY_LEG_ADVISORS" hidden="1">"c2387"</definedName>
    <definedName name="IQ_TR_BUYER_ID" hidden="1">"c2404"</definedName>
    <definedName name="IQ_TR_BUYERNAME" hidden="1">"c2401"</definedName>
    <definedName name="IQ_TR_CANCELLED_DATE" hidden="1">"c2284"</definedName>
    <definedName name="IQ_TR_CASH_CONSID_PCT" hidden="1">"c2296"</definedName>
    <definedName name="IQ_TR_CASH_ST_INVEST" hidden="1">"c3025"</definedName>
    <definedName name="IQ_TR_CHANGE_CONTROL" hidden="1">"c2365"</definedName>
    <definedName name="IQ_TR_CLOSED_DATE" hidden="1">"c2283"</definedName>
    <definedName name="IQ_TR_CO_NET_PROCEEDS" hidden="1">"c2268"</definedName>
    <definedName name="IQ_TR_CO_NET_PROCEEDS_PCT" hidden="1">"c2270"</definedName>
    <definedName name="IQ_TR_COMMENTS" hidden="1">"c2383"</definedName>
    <definedName name="IQ_TR_CURRENCY" hidden="1">"c3016"</definedName>
    <definedName name="IQ_TR_DEAL_ATTITUDE" hidden="1">"c2364"</definedName>
    <definedName name="IQ_TR_DEAL_CONDITIONS" hidden="1">"c2367"</definedName>
    <definedName name="IQ_TR_DEAL_RESOLUTION" hidden="1">"c2391"</definedName>
    <definedName name="IQ_TR_DEAL_RESPONSES" hidden="1">"c2366"</definedName>
    <definedName name="IQ_TR_DEBT_CONSID_PCT" hidden="1">"c2299"</definedName>
    <definedName name="IQ_TR_DEF_AGRMT_DATE" hidden="1">"c2285"</definedName>
    <definedName name="IQ_TR_DISCLOSED_FEES_EXP" hidden="1">"c2288"</definedName>
    <definedName name="IQ_TR_EARNOUTS" hidden="1">"c3023"</definedName>
    <definedName name="IQ_TR_EXPIRED_DATE" hidden="1">"c2412"</definedName>
    <definedName name="IQ_TR_GROSS_OFFERING_AMT" hidden="1">"c2262"</definedName>
    <definedName name="IQ_TR_HYBRID_CONSID_PCT" hidden="1">"c2300"</definedName>
    <definedName name="IQ_TR_IMPLIED_EQ" hidden="1">"c3018"</definedName>
    <definedName name="IQ_TR_IMPLIED_EQ_BV" hidden="1">"c3019"</definedName>
    <definedName name="IQ_TR_IMPLIED_EQ_NI_LTM" hidden="1">"c3020"</definedName>
    <definedName name="IQ_TR_IMPLIED_EV" hidden="1">"c2301"</definedName>
    <definedName name="IQ_TR_IMPLIED_EV_BV" hidden="1">"c2306"</definedName>
    <definedName name="IQ_TR_IMPLIED_EV_EBIT" hidden="1">"c2302"</definedName>
    <definedName name="IQ_TR_IMPLIED_EV_EBITDA" hidden="1">"c2303"</definedName>
    <definedName name="IQ_TR_IMPLIED_EV_NI_LTM" hidden="1">"c2307"</definedName>
    <definedName name="IQ_TR_IMPLIED_EV_REV" hidden="1">"c2304"</definedName>
    <definedName name="IQ_TR_LOI_DATE" hidden="1">"c2282"</definedName>
    <definedName name="IQ_TR_MAJ_MIN_STAKE" hidden="1">"c2389"</definedName>
    <definedName name="IQ_TR_NEGOTIATED_BUYBACK_PRICE" hidden="1">"c2414"</definedName>
    <definedName name="IQ_TR_NET_ASSUM_LIABILITIES" hidden="1">"c2308"</definedName>
    <definedName name="IQ_TR_NET_PROCEEDS" hidden="1">"c2267"</definedName>
    <definedName name="IQ_TR_OFFER_DATE" hidden="1">"c2265"</definedName>
    <definedName name="IQ_TR_OFFER_DATE_MA" hidden="1">"c3035"</definedName>
    <definedName name="IQ_TR_OFFER_PER_SHARE" hidden="1">"c3017"</definedName>
    <definedName name="IQ_TR_OPTIONS_CONSID_PCT" hidden="1">"c2311"</definedName>
    <definedName name="IQ_TR_OTHER_CONSID" hidden="1">"c3022"</definedName>
    <definedName name="IQ_TR_PCT_SOUGHT" hidden="1">"c2309"</definedName>
    <definedName name="IQ_TR_PFEATURES" hidden="1">"c2384"</definedName>
    <definedName name="IQ_TR_PIPE_CONV_PRICE_SHARE" hidden="1">"c2292"</definedName>
    <definedName name="IQ_TR_PIPE_CPN_PCT" hidden="1">"c2291"</definedName>
    <definedName name="IQ_TR_PIPE_NUMBER_SHARES" hidden="1">"c2293"</definedName>
    <definedName name="IQ_TR_PIPE_PPS" hidden="1">"c2290"</definedName>
    <definedName name="IQ_TR_POSTMONEY_VAL" hidden="1">"c2286"</definedName>
    <definedName name="IQ_TR_PREDEAL_SITUATION" hidden="1">"c2390"</definedName>
    <definedName name="IQ_TR_PREF_CONSID_PCT" hidden="1">"c2310"</definedName>
    <definedName name="IQ_TR_PREMONEY_VAL" hidden="1">"c2287"</definedName>
    <definedName name="IQ_TR_PRINTING_FEES" hidden="1">"c2276"</definedName>
    <definedName name="IQ_TR_PT_MONETARY_VALUES" hidden="1">"c2415"</definedName>
    <definedName name="IQ_TR_PT_NUMBER_SHARES" hidden="1">"c2417"</definedName>
    <definedName name="IQ_TR_PT_PCT_SHARES" hidden="1">"c2416"</definedName>
    <definedName name="IQ_TR_RATING_FEES" hidden="1">"c2275"</definedName>
    <definedName name="IQ_TR_REG_EFFECT_DATE" hidden="1">"c2264"</definedName>
    <definedName name="IQ_TR_REG_FILED_DATE" hidden="1">"c2263"</definedName>
    <definedName name="IQ_TR_RENEWAL_BUYBACK" hidden="1">"c2413"</definedName>
    <definedName name="IQ_TR_ROUND_NUMBER" hidden="1">"c2295"</definedName>
    <definedName name="IQ_TR_SEC_FEES" hidden="1">"c2274"</definedName>
    <definedName name="IQ_TR_SECURITY_TYPE_REG" hidden="1">"c2279"</definedName>
    <definedName name="IQ_TR_SELL_ACC_ADVISORS" hidden="1">"c3049"</definedName>
    <definedName name="IQ_TR_SELL_FIN_ADVISORS" hidden="1">"c3046"</definedName>
    <definedName name="IQ_TR_SELL_LEG_ADVISORS" hidden="1">"c2388"</definedName>
    <definedName name="IQ_TR_SELLER_ID" hidden="1">"c2406"</definedName>
    <definedName name="IQ_TR_SELLERNAME" hidden="1">"c2402"</definedName>
    <definedName name="IQ_TR_SFEATURES" hidden="1">"c2385"</definedName>
    <definedName name="IQ_TR_SH_NET_PROCEEDS" hidden="1">"c2269"</definedName>
    <definedName name="IQ_TR_SH_NET_PROCEEDS_PCT" hidden="1">"c2271"</definedName>
    <definedName name="IQ_TR_SPECIAL_COMMITTEE" hidden="1">"c2362"</definedName>
    <definedName name="IQ_TR_STATUS" hidden="1">"c2399"</definedName>
    <definedName name="IQ_TR_STOCK_CONSID_PCT" hidden="1">"c2312"</definedName>
    <definedName name="IQ_TR_SUSPENDED_DATE" hidden="1">"c2407"</definedName>
    <definedName name="IQ_TR_TARGET_52WKHI_PCT" hidden="1">"c2351"</definedName>
    <definedName name="IQ_TR_TARGET_52WKLOW_PCT" hidden="1">"c2350"</definedName>
    <definedName name="IQ_TR_TARGET_ACC_ADVISORS" hidden="1">"c3047"</definedName>
    <definedName name="IQ_TR_TARGET_CASH_ST_INVEST" hidden="1">"c2327"</definedName>
    <definedName name="IQ_TR_TARGET_CLOSEPRICE_1D" hidden="1">"c2352"</definedName>
    <definedName name="IQ_TR_TARGET_CLOSEPRICE_1M" hidden="1">"c2354"</definedName>
    <definedName name="IQ_TR_TARGET_CLOSEPRICE_1W" hidden="1">"c2353"</definedName>
    <definedName name="IQ_TR_TARGET_DILUT_EPS_EXCL" hidden="1">"c2324"</definedName>
    <definedName name="IQ_TR_TARGET_EARNING_CO" hidden="1">"c2332"</definedName>
    <definedName name="IQ_TR_TARGET_EBIT" hidden="1">"c2333"</definedName>
    <definedName name="IQ_TR_TARGET_EBITDA" hidden="1">"c2334"</definedName>
    <definedName name="IQ_TR_TARGET_FILING_CURRENCY" hidden="1">"c3034"</definedName>
    <definedName name="IQ_TR_TARGET_FIN_ADVISORS" hidden="1">"c3044"</definedName>
    <definedName name="IQ_TR_TARGET_ID" hidden="1">"c2405"</definedName>
    <definedName name="IQ_TR_TARGET_LEG_ADVISORS" hidden="1">"c2386"</definedName>
    <definedName name="IQ_TR_TARGET_MARKETCAP" hidden="1">"c2342"</definedName>
    <definedName name="IQ_TR_TARGET_MIN_INT" hidden="1">"c2328"</definedName>
    <definedName name="IQ_TR_TARGET_NET_DEBT" hidden="1">"c2326"</definedName>
    <definedName name="IQ_TR_TARGET_NI" hidden="1">"c2331"</definedName>
    <definedName name="IQ_TR_TARGET_PRICEDATE_1D" hidden="1">"c2341"</definedName>
    <definedName name="IQ_TR_TARGET_RETURN" hidden="1">"c2355"</definedName>
    <definedName name="IQ_TR_TARGET_SEC_DETAIL" hidden="1">"c3021"</definedName>
    <definedName name="IQ_TR_TARGET_SEC_TI_ID" hidden="1">"c2368"</definedName>
    <definedName name="IQ_TR_TARGET_SEC_TYPE" hidden="1">"c2369"</definedName>
    <definedName name="IQ_TR_TARGET_SPD" hidden="1">"c2313"</definedName>
    <definedName name="IQ_TR_TARGET_SPD_PCT" hidden="1">"c2314"</definedName>
    <definedName name="IQ_TR_TARGET_STOCKPREMIUM_1D" hidden="1">"c2336"</definedName>
    <definedName name="IQ_TR_TARGET_STOCKPREMIUM_1M" hidden="1">"c2337"</definedName>
    <definedName name="IQ_TR_TARGET_STOCKPREMIUM_1W" hidden="1">"c2338"</definedName>
    <definedName name="IQ_TR_TARGET_STOCKYEARHIGH_1D" hidden="1">"c2339"</definedName>
    <definedName name="IQ_TR_TARGET_STOCKYEARLOW_1D" hidden="1">"c2340"</definedName>
    <definedName name="IQ_TR_TARGET_TOTAL_ASSETS" hidden="1">"c2325"</definedName>
    <definedName name="IQ_TR_TARGET_TOTAL_COMMON_EQ" hidden="1">"c2421"</definedName>
    <definedName name="IQ_TR_TARGET_TOTAL_DEBT" hidden="1">"c2330"</definedName>
    <definedName name="IQ_TR_TARGET_TOTAL_PREF" hidden="1">"c2329"</definedName>
    <definedName name="IQ_TR_TARGET_TOTAL_REV" hidden="1">"c2335"</definedName>
    <definedName name="IQ_TR_TARGETNAME" hidden="1">"c2403"</definedName>
    <definedName name="IQ_TR_TERM_FEE" hidden="1">"c2298"</definedName>
    <definedName name="IQ_TR_TERM_FEE_PCT" hidden="1">"c2297"</definedName>
    <definedName name="IQ_TR_TODATE" hidden="1">"c3036"</definedName>
    <definedName name="IQ_TR_TODATE_MONETARY_VALUE" hidden="1">"c2418"</definedName>
    <definedName name="IQ_TR_TODATE_NUMBER_SHARES" hidden="1">"c2420"</definedName>
    <definedName name="IQ_TR_TODATE_PCT_SHARES" hidden="1">"c2419"</definedName>
    <definedName name="IQ_TR_TOTAL_ACCT_FEES" hidden="1">"c2273"</definedName>
    <definedName name="IQ_TR_TOTAL_CASH" hidden="1">"c2315"</definedName>
    <definedName name="IQ_TR_TOTAL_CONSID_SH" hidden="1">"c2316"</definedName>
    <definedName name="IQ_TR_TOTAL_DEBT" hidden="1">"c2317"</definedName>
    <definedName name="IQ_TR_TOTAL_GROSS_TV" hidden="1">"c2318"</definedName>
    <definedName name="IQ_TR_TOTAL_HYBRID" hidden="1">"c2319"</definedName>
    <definedName name="IQ_TR_TOTAL_LEGAL_FEES" hidden="1">"c2272"</definedName>
    <definedName name="IQ_TR_TOTAL_NET_TV" hidden="1">"c2320"</definedName>
    <definedName name="IQ_TR_TOTAL_NEWMONEY" hidden="1">"c2289"</definedName>
    <definedName name="IQ_TR_TOTAL_OPTIONS" hidden="1">"c2322"</definedName>
    <definedName name="IQ_TR_TOTAL_OPTIONS_BUYER" hidden="1">"c3026"</definedName>
    <definedName name="IQ_TR_TOTAL_PREFERRED" hidden="1">"c2321"</definedName>
    <definedName name="IQ_TR_TOTAL_REG_AMT" hidden="1">"c2261"</definedName>
    <definedName name="IQ_TR_TOTAL_STOCK" hidden="1">"c2323"</definedName>
    <definedName name="IQ_TR_TOTAL_TAKEDOWNS" hidden="1">"c2278"</definedName>
    <definedName name="IQ_TR_TOTAL_UW_COMP" hidden="1">"c2280"</definedName>
    <definedName name="IQ_TR_TOTALVALUE" hidden="1">"c2400"</definedName>
    <definedName name="IQ_TR_TRANSACTION_TYPE" hidden="1">"c2398"</definedName>
    <definedName name="IQ_TR_WITHDRAWN_DTE" hidden="1">"c2266"</definedName>
    <definedName name="IQ_TRADE_AR" hidden="1">"c1345"</definedName>
    <definedName name="IQ_TRADE_PRINCIPAL" hidden="1">"c1309"</definedName>
    <definedName name="IQ_TRADING_ASSETS" hidden="1">"c1310"</definedName>
    <definedName name="IQ_TRADING_CURRENCY" hidden="1">"c2212"</definedName>
    <definedName name="IQ_TREASURY" hidden="1">"c1311"</definedName>
    <definedName name="IQ_TREASURY_OTHER_EQUITY" hidden="1">"c1312"</definedName>
    <definedName name="IQ_TREASURY_OTHER_EQUITY_BNK" hidden="1">"c1313"</definedName>
    <definedName name="IQ_TREASURY_OTHER_EQUITY_BR" hidden="1">"c1314"</definedName>
    <definedName name="IQ_TREASURY_OTHER_EQUITY_FIN" hidden="1">"c1315"</definedName>
    <definedName name="IQ_TREASURY_OTHER_EQUITY_INS" hidden="1">"c1316"</definedName>
    <definedName name="IQ_TREASURY_OTHER_EQUITY_REIT" hidden="1">"c1317"</definedName>
    <definedName name="IQ_TREASURY_OTHER_EQUITY_UTI" hidden="1">"c1318"</definedName>
    <definedName name="IQ_TREASURY_STOCK" hidden="1">"c1438"</definedName>
    <definedName name="IQ_TRUST_INC" hidden="1">"c1319"</definedName>
    <definedName name="IQ_TRUST_PREF" hidden="1">"c1320"</definedName>
    <definedName name="IQ_TRUST_PREFERRED" hidden="1">"c3029"</definedName>
    <definedName name="IQ_TRUST_PREFERRED_PCT" hidden="1">"c3030"</definedName>
    <definedName name="IQ_UFCF_10YR_ANN_GROWTH" hidden="1">"c1948"</definedName>
    <definedName name="IQ_UFCF_1YR_ANN_GROWTH" hidden="1">"c1943"</definedName>
    <definedName name="IQ_UFCF_2YR_ANN_GROWTH" hidden="1">"c1944"</definedName>
    <definedName name="IQ_UFCF_3YR_ANN_GROWTH" hidden="1">"c1945"</definedName>
    <definedName name="IQ_UFCF_5YR_ANN_GROWTH" hidden="1">"c1946"</definedName>
    <definedName name="IQ_UFCF_7YR_ANN_GROWTH" hidden="1">"c1947"</definedName>
    <definedName name="IQ_UFCF_MARGIN" hidden="1">"c1962"</definedName>
    <definedName name="IQ_ULT_PARENT" hidden="1">"c3037"</definedName>
    <definedName name="IQ_ULT_PARENT_CIQID" hidden="1">"c3039"</definedName>
    <definedName name="IQ_ULT_PARENT_TICKER" hidden="1">"c3038"</definedName>
    <definedName name="IQ_UNAMORT_DISC" hidden="1">"c2513"</definedName>
    <definedName name="IQ_UNAMORT_DISC_PCT" hidden="1">"c2514"</definedName>
    <definedName name="IQ_UNAMORT_PREMIUM" hidden="1">"c2511"</definedName>
    <definedName name="IQ_UNAMORT_PREMIUM_PCT" hidden="1">"c2512"</definedName>
    <definedName name="IQ_UNDRAWN_CP" hidden="1">"c2518"</definedName>
    <definedName name="IQ_UNDRAWN_CREDIT" hidden="1">"c3032"</definedName>
    <definedName name="IQ_UNDRAWN_RC" hidden="1">"c2517"</definedName>
    <definedName name="IQ_UNDRAWN_TL" hidden="1">"c2519"</definedName>
    <definedName name="IQ_UNEARN_PREMIUM" hidden="1">"c1321"</definedName>
    <definedName name="IQ_UNEARN_REV_CURRENT" hidden="1">"c1322"</definedName>
    <definedName name="IQ_UNEARN_REV_CURRENT_BNK" hidden="1">"c1323"</definedName>
    <definedName name="IQ_UNEARN_REV_CURRENT_BR" hidden="1">"c1324"</definedName>
    <definedName name="IQ_UNEARN_REV_CURRENT_FIN" hidden="1">"c1325"</definedName>
    <definedName name="IQ_UNEARN_REV_CURRENT_INS" hidden="1">"c1326"</definedName>
    <definedName name="IQ_UNEARN_REV_CURRENT_REIT" hidden="1">"c1327"</definedName>
    <definedName name="IQ_UNEARN_REV_CURRENT_UTI" hidden="1">"c1328"</definedName>
    <definedName name="IQ_UNEARN_REV_LT" hidden="1">"c1329"</definedName>
    <definedName name="IQ_UNLEVERED_FCF" hidden="1">"c1908"</definedName>
    <definedName name="IQ_UNPAID_CLAIMS" hidden="1">"c1330"</definedName>
    <definedName name="IQ_UNREALIZED_GAIN" hidden="1">"c1619"</definedName>
    <definedName name="IQ_UNSECURED_DEBT" hidden="1">"c2548"</definedName>
    <definedName name="IQ_UNSECURED_DEBT_PCT" hidden="1">"c2549"</definedName>
    <definedName name="IQ_UNUSUAL_EXP" hidden="1">"c1456"</definedName>
    <definedName name="IQ_US_GAAP" hidden="1">"c1331"</definedName>
    <definedName name="IQ_US_GAAP_BASIC_EPS_EXCL" hidden="1">"c2984"</definedName>
    <definedName name="IQ_US_GAAP_BASIC_EPS_INCL" hidden="1">"c2982"</definedName>
    <definedName name="IQ_US_GAAP_BASIC_WEIGHT" hidden="1">"c2980"</definedName>
    <definedName name="IQ_US_GAAP_CA_ADJ" hidden="1">"c2925"</definedName>
    <definedName name="IQ_US_GAAP_CASH_FINAN" hidden="1">"c2945"</definedName>
    <definedName name="IQ_US_GAAP_CASH_FINAN_ADJ" hidden="1">"c2941"</definedName>
    <definedName name="IQ_US_GAAP_CASH_INVEST" hidden="1">"c2944"</definedName>
    <definedName name="IQ_US_GAAP_CASH_INVEST_ADJ" hidden="1">"c2940"</definedName>
    <definedName name="IQ_US_GAAP_CASH_OPER" hidden="1">"c2943"</definedName>
    <definedName name="IQ_US_GAAP_CASH_OPER_ADJ" hidden="1">"c2939"</definedName>
    <definedName name="IQ_US_GAAP_CL_ADJ" hidden="1">"c2927"</definedName>
    <definedName name="IQ_US_GAAP_DILUT_EPS_EXCL" hidden="1">"c2985"</definedName>
    <definedName name="IQ_US_GAAP_DILUT_EPS_INCL" hidden="1">"c2983"</definedName>
    <definedName name="IQ_US_GAAP_DILUT_NI" hidden="1">"c2979"</definedName>
    <definedName name="IQ_US_GAAP_DILUT_WEIGHT" hidden="1">"c2981"</definedName>
    <definedName name="IQ_US_GAAP_DO_ADJ" hidden="1">"c2959"</definedName>
    <definedName name="IQ_US_GAAP_EXTRA_ACC_ITEMS_ADJ" hidden="1">"c2958"</definedName>
    <definedName name="IQ_US_GAAP_INC_TAX_ADJ" hidden="1">"c2961"</definedName>
    <definedName name="IQ_US_GAAP_INTEREST_EXP_ADJ" hidden="1">"c2957"</definedName>
    <definedName name="IQ_US_GAAP_LIAB_LT_ADJ" hidden="1">"c2928"</definedName>
    <definedName name="IQ_US_GAAP_LIAB_TOTAL_LIAB" hidden="1">"c2933"</definedName>
    <definedName name="IQ_US_GAAP_MINORITY_INTEREST_IS_ADJ" hidden="1">"c2960"</definedName>
    <definedName name="IQ_US_GAAP_NCA_ADJ" hidden="1">"c2926"</definedName>
    <definedName name="IQ_US_GAAP_NET_CHANGE" hidden="1">"c2946"</definedName>
    <definedName name="IQ_US_GAAP_NET_CHANGE_ADJ" hidden="1">"c2942"</definedName>
    <definedName name="IQ_US_GAAP_NI" hidden="1">"c2976"</definedName>
    <definedName name="IQ_US_GAAP_NI_ADJ" hidden="1">"c2963"</definedName>
    <definedName name="IQ_US_GAAP_NI_AVAIL_INCL" hidden="1">"c2978"</definedName>
    <definedName name="IQ_US_GAAP_OTHER_ADJ_ADJ" hidden="1">"c2962"</definedName>
    <definedName name="IQ_US_GAAP_OTHER_NON_OPER_ADJ" hidden="1">"c2955"</definedName>
    <definedName name="IQ_US_GAAP_OTHER_OPER_ADJ" hidden="1">"c2954"</definedName>
    <definedName name="IQ_US_GAAP_RD_ADJ" hidden="1">"c2953"</definedName>
    <definedName name="IQ_US_GAAP_SGA_ADJ" hidden="1">"c2952"</definedName>
    <definedName name="IQ_US_GAAP_TOTAL_ASSETS" hidden="1">"c2931"</definedName>
    <definedName name="IQ_US_GAAP_TOTAL_EQUITY" hidden="1">"c2934"</definedName>
    <definedName name="IQ_US_GAAP_TOTAL_EQUITY_ADJ" hidden="1">"c2929"</definedName>
    <definedName name="IQ_US_GAAP_TOTAL_REV_ADJ" hidden="1">"c2950"</definedName>
    <definedName name="IQ_US_GAAP_TOTAL_UNUSUAL_ADJ" hidden="1">"c2956"</definedName>
    <definedName name="IQ_UTIL_PPE_NET" hidden="1">"c1620"</definedName>
    <definedName name="IQ_UTIL_REV" hidden="1">"c2091"</definedName>
    <definedName name="IQ_UV_PENSION_LIAB" hidden="1">"c1332"</definedName>
    <definedName name="IQ_VALUE_TRADED_LAST_3MTH" hidden="1">"c1530"</definedName>
    <definedName name="IQ_VALUE_TRADED_LAST_6MTH" hidden="1">"c1531"</definedName>
    <definedName name="IQ_VALUE_TRADED_LAST_MTH" hidden="1">"c1529"</definedName>
    <definedName name="IQ_VALUE_TRADED_LAST_WK" hidden="1">"c1528"</definedName>
    <definedName name="IQ_VALUE_TRADED_LAST_YR" hidden="1">"c1532"</definedName>
    <definedName name="IQ_VOL_LAST_3MTH" hidden="1">"c1525"</definedName>
    <definedName name="IQ_VOL_LAST_6MTH" hidden="1">"c1526"</definedName>
    <definedName name="IQ_VOL_LAST_MTH" hidden="1">"c1524"</definedName>
    <definedName name="IQ_VOL_LAST_WK" hidden="1">"c1523"</definedName>
    <definedName name="IQ_VOL_LAST_YR" hidden="1">"c1527"</definedName>
    <definedName name="IQ_VOLUME" hidden="1">"c1333"</definedName>
    <definedName name="IQ_WARRANTS_BEG_OS" hidden="1">"c2698"</definedName>
    <definedName name="IQ_WARRANTS_CANCELLED" hidden="1">"c2701"</definedName>
    <definedName name="IQ_WARRANTS_END_OS" hidden="1">"c2702"</definedName>
    <definedName name="IQ_WARRANTS_EXERCISED" hidden="1">"c2700"</definedName>
    <definedName name="IQ_WARRANTS_ISSUED" hidden="1">"c2699"</definedName>
    <definedName name="IQ_WARRANTS_STRIKE_PRICE_ISSUED" hidden="1">"c2704"</definedName>
    <definedName name="IQ_WARRANTS_STRIKE_PRICE_OS" hidden="1">"c2703"</definedName>
    <definedName name="IQ_WEIGHTED_AVG_PRICE" hidden="1">"c1334"</definedName>
    <definedName name="IQ_WIP_INV" hidden="1">"c1335"</definedName>
    <definedName name="IQ_WORKMEN_WRITTEN" hidden="1">"c1336"</definedName>
    <definedName name="IQ_XDIV_DATE" hidden="1">"c2203"</definedName>
    <definedName name="IQ_YEARHIGH" hidden="1">"c1337"</definedName>
    <definedName name="IQ_YEARHIGH_DATE" hidden="1">"c2250"</definedName>
    <definedName name="IQ_YEARLOW" hidden="1">"c1338"</definedName>
    <definedName name="IQ_YEARLOW_DATE" hidden="1">"c2251"</definedName>
    <definedName name="IQ_YTD" hidden="1">3000</definedName>
    <definedName name="IQ_YTW" hidden="1">"c2163"</definedName>
    <definedName name="IQ_YTW_DATE" hidden="1">"c2164"</definedName>
    <definedName name="IQ_YTW_DATE_TYPE" hidden="1">"c2165"</definedName>
    <definedName name="IQ_Z_SCORE" hidden="1">"c1339"</definedName>
    <definedName name="Jay" localSheetId="4" hidden="1">{#N/A,#N/A,FALSE,"gc (2)"}</definedName>
    <definedName name="Jay" hidden="1">{#N/A,#N/A,FALSE,"gc (2)"}</definedName>
    <definedName name="jj" localSheetId="4" hidden="1">{#N/A,#N/A,FALSE,"One Pager";#N/A,#N/A,FALSE,"Technical"}</definedName>
    <definedName name="jj" hidden="1">{#N/A,#N/A,FALSE,"One Pager";#N/A,#N/A,FALSE,"Technical"}</definedName>
    <definedName name="KEY_INDICATORS_4">#REF!</definedName>
    <definedName name="KEY_INDICATORS_5">#REF!</definedName>
    <definedName name="KEY_INDICATORS_6">#REF!</definedName>
    <definedName name="KEY_INDICATORS_7">#REF!</definedName>
    <definedName name="KEY_INDICATORS_8">#REF!</definedName>
    <definedName name="kyd.ChngCell.01." hidden="1">#REF!</definedName>
    <definedName name="kyd.CounterLimitCell.01." hidden="1">"x"</definedName>
    <definedName name="kyd.Dim.01." hidden="1">"toad:Company"</definedName>
    <definedName name="kyd.ElementList.01." hidden="1">#REF!</definedName>
    <definedName name="kyd.ElementType.01." hidden="1">3</definedName>
    <definedName name="kyd.ItemType.01." hidden="1">2</definedName>
    <definedName name="kyd.NumLevels.01." hidden="1">999</definedName>
    <definedName name="kyd.ParentName.01." hidden="1">""</definedName>
    <definedName name="kyd.PrintParent.01." hidden="1">TRUE</definedName>
    <definedName name="kyd.SelectString.01." hidden="1">"*"</definedName>
    <definedName name="LIAB_4">#REF!</definedName>
    <definedName name="LIAB_5">#REF!</definedName>
    <definedName name="LIAB_6">#REF!</definedName>
    <definedName name="LIAB_7">#REF!</definedName>
    <definedName name="LIAB_8">#REF!</definedName>
    <definedName name="MCBDB" localSheetId="4" hidden="1">{#N/A,#N/A,FALSE,"mpph1";#N/A,#N/A,FALSE,"mpmseb";#N/A,#N/A,FALSE,"mpph2"}</definedName>
    <definedName name="MCBDB" hidden="1">{#N/A,#N/A,FALSE,"mpph1";#N/A,#N/A,FALSE,"mpmseb";#N/A,#N/A,FALSE,"mpph2"}</definedName>
    <definedName name="mr10resi" localSheetId="4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mr10resi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mr10residen" localSheetId="4" hidden="1">{#N/A,#N/A,TRUE,"Financials";#N/A,#N/A,TRUE,"Operating Statistics";#N/A,#N/A,TRUE,"Capex &amp; Depreciation";#N/A,#N/A,TRUE,"Debt"}</definedName>
    <definedName name="mr10residen" hidden="1">{#N/A,#N/A,TRUE,"Financials";#N/A,#N/A,TRUE,"Operating Statistics";#N/A,#N/A,TRUE,"Capex &amp; Depreciation";#N/A,#N/A,TRUE,"Debt"}</definedName>
    <definedName name="Nitin" hidden="1">#REF!</definedName>
    <definedName name="parse" hidden="1">#REF!</definedName>
    <definedName name="PL1_4">#REF!</definedName>
    <definedName name="PL1_5">#REF!</definedName>
    <definedName name="PL1_6">#REF!</definedName>
    <definedName name="PL1_7">#REF!</definedName>
    <definedName name="PL1_8">#REF!</definedName>
    <definedName name="PL2_4">#REF!</definedName>
    <definedName name="PL2_5">#REF!</definedName>
    <definedName name="PL2_6">#REF!</definedName>
    <definedName name="PL2_7">#REF!</definedName>
    <definedName name="PL2_8">#REF!</definedName>
    <definedName name="plfull_4">#REF!</definedName>
    <definedName name="plfull_5">#REF!</definedName>
    <definedName name="plfull_6">#REF!</definedName>
    <definedName name="plfull_7">#REF!</definedName>
    <definedName name="plfull_8">#REF!</definedName>
    <definedName name="ppl" localSheetId="4" hidden="1">{#N/A,#N/A,FALSE,"gc (2)"}</definedName>
    <definedName name="ppl" hidden="1">{#N/A,#N/A,FALSE,"gc (2)"}</definedName>
    <definedName name="PUB_FileID" hidden="1">"L10003363.xls"</definedName>
    <definedName name="PUB_UserID" hidden="1">"MAYERX"</definedName>
    <definedName name="qw" localSheetId="4" hidden="1">{"Estimated Proforma (Prelim. Proforma)",#N/A,TRUE,"Prelim. Proforma";"Summary Cash Flow Grid",#N/A,TRUE,"Cash Flow Grid";"Final Proforma (Final Proforma)",#N/A,TRUE,"Final Proforma";"Cash Flow Graph (Cash Flow Graphic)",#N/A,TRUE,"Cash Flow Graphic"}</definedName>
    <definedName name="qw" hidden="1">{"Estimated Proforma (Prelim. Proforma)",#N/A,TRUE,"Prelim. Proforma";"Summary Cash Flow Grid",#N/A,TRUE,"Cash Flow Grid";"Final Proforma (Final Proforma)",#N/A,TRUE,"Final Proforma";"Cash Flow Graph (Cash Flow Graphic)",#N/A,TRUE,"Cash Flow Graphic"}</definedName>
    <definedName name="qwer" localSheetId="4" hidden="1">{"Estimated Proforma",#N/A,TRUE,"Prelim. Proforma";"Sales and Marketing Budget",#N/A,TRUE,"S&amp;M Budget";"Summary Cash Flow Grid",#N/A,TRUE,"Cash Flow Grid";"Detail Project Cash Flow",#N/A,TRUE,"Cash Flow Grid";"Financing Calculation",#N/A,TRUE,"Cash Flow Grid";"Cash Flow Graph",#N/A,TRUE,"Cash Flow Graphic";"Final Proforma",#N/A,TRUE,"Final Proforma"}</definedName>
    <definedName name="qwer" hidden="1">{"Estimated Proforma",#N/A,TRUE,"Prelim. Proforma";"Sales and Marketing Budget",#N/A,TRUE,"S&amp;M Budget";"Summary Cash Flow Grid",#N/A,TRUE,"Cash Flow Grid";"Detail Project Cash Flow",#N/A,TRUE,"Cash Flow Grid";"Financing Calculation",#N/A,TRUE,"Cash Flow Grid";"Cash Flow Graph",#N/A,TRUE,"Cash Flow Graphic";"Final Proforma",#N/A,TRUE,"Final Proforma"}</definedName>
    <definedName name="ram" localSheetId="4" hidden="1">{"dep. full detail",#N/A,FALSE,"annex";"3cd annex",#N/A,FALSE,"annex";"co. dep.",#N/A,FALSE,"annex"}</definedName>
    <definedName name="ram" hidden="1">{"dep. full detail",#N/A,FALSE,"annex";"3cd annex",#N/A,FALSE,"annex";"co. dep.",#N/A,FALSE,"annex"}</definedName>
    <definedName name="RATIOS_4">#REF!</definedName>
    <definedName name="RATIOS_5">#REF!</definedName>
    <definedName name="RATIOS_6">#REF!</definedName>
    <definedName name="RATIOS_7">#REF!</definedName>
    <definedName name="RATIOS_8">#REF!</definedName>
    <definedName name="report" localSheetId="4" hidden="1">{#N/A,#N/A,FALSE,"Summary";#N/A,#N/A,FALSE,"Assumptions";#N/A,#N/A,FALSE,"Cash Flow";#N/A,#N/A,FALSE,"Residual Calculation";#N/A,#N/A,FALSE,"Pricing Matrix";#N/A,#N/A,FALSE,"Pricing Matrix II";#N/A,#N/A,FALSE,"Expiration Schedule"}</definedName>
    <definedName name="report" hidden="1">{#N/A,#N/A,FALSE,"Summary";#N/A,#N/A,FALSE,"Assumptions";#N/A,#N/A,FALSE,"Cash Flow";#N/A,#N/A,FALSE,"Residual Calculation";#N/A,#N/A,FALSE,"Pricing Matrix";#N/A,#N/A,FALSE,"Pricing Matrix II";#N/A,#N/A,FALSE,"Expiration Schedule"}</definedName>
    <definedName name="reu" localSheetId="4" hidden="1">{#N/A,#N/A,FALSE,"gc (2)"}</definedName>
    <definedName name="reu" hidden="1">{#N/A,#N/A,FALSE,"gc (2)"}</definedName>
    <definedName name="reya" localSheetId="4" hidden="1">{"office ltcg",#N/A,FALSE,"gain01";"IT LTCG",#N/A,FALSE,"gain01"}</definedName>
    <definedName name="reya" hidden="1">{"office ltcg",#N/A,FALSE,"gain01";"IT LTCG",#N/A,FALSE,"gain01"}</definedName>
    <definedName name="ripal" localSheetId="4" hidden="1">{#N/A,#N/A,FALSE,"gc (2)"}</definedName>
    <definedName name="ripal" hidden="1">{#N/A,#N/A,FALSE,"gc (2)"}</definedName>
    <definedName name="rtrt" localSheetId="4" hidden="1">{"sheet a",#N/A,FALSE,"A";"sheet b 1",#N/A,FALSE,"B";"sheet b 2",#N/A,FALSE,"B"}</definedName>
    <definedName name="rtrt" hidden="1">{"sheet a",#N/A,FALSE,"A";"sheet b 1",#N/A,FALSE,"B";"sheet b 2",#N/A,FALSE,"B"}</definedName>
    <definedName name="s" localSheetId="4" hidden="1">{"Output-3Column",#N/A,FALSE,"Output"}</definedName>
    <definedName name="s" hidden="1">{"Output-3Column",#N/A,FALSE,"Output"}</definedName>
    <definedName name="sanju" localSheetId="4" hidden="1">{"office ltcg",#N/A,FALSE,"gain01";"IT LTCG",#N/A,FALSE,"gain01"}</definedName>
    <definedName name="sanju" hidden="1">{"office ltcg",#N/A,FALSE,"gain01";"IT LTCG",#N/A,FALSE,"gain01"}</definedName>
    <definedName name="SAPBEXdnldView" hidden="1">"16MPPULO0WIBVEDKDTTJHER3J"</definedName>
    <definedName name="SAPBEXsysID" hidden="1">"BWP"</definedName>
    <definedName name="sdf" localSheetId="4" hidden="1">{"PROFORMA",#N/A,FALSE,"A";"BIGGER 1",#N/A,FALSE,"B";"BIGGER 2",#N/A,FALSE,"B";"BIGGER 3",#N/A,FALSE,"B";"SMALL CF 1",#N/A,FALSE,"C"}</definedName>
    <definedName name="sdf" hidden="1">{"PROFORMA",#N/A,FALSE,"A";"BIGGER 1",#N/A,FALSE,"B";"BIGGER 2",#N/A,FALSE,"B";"BIGGER 3",#N/A,FALSE,"B";"SMALL CF 1",#N/A,FALSE,"C"}</definedName>
    <definedName name="Security_4">#REF!</definedName>
    <definedName name="SECURITY_5">#REF!</definedName>
    <definedName name="SECURITY_6">#REF!</definedName>
    <definedName name="SECURITY_7">#REF!</definedName>
    <definedName name="SECURITY_8">#REF!</definedName>
    <definedName name="Show.Acct.Update.Warning" hidden="1">#REF!</definedName>
    <definedName name="Show.MDB.Update.Warning" hidden="1">#REF!</definedName>
    <definedName name="sk" localSheetId="4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sk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SLEVIN" localSheetId="4" hidden="1">{"SUMMARY",#N/A,TRUE,"RIGGIN INCR";"SUMMARY",#N/A,TRUE,"DEAN";"SUMMARY",#N/A,TRUE,"GAWRYS";"SUMMARY",#N/A,TRUE,"RUSSO GBVS";"SUMMARY",#N/A,TRUE,"RUSSO WW";"SUMMARY",#N/A,TRUE,"RUSSO TOTAL ";"SUMMARY",#N/A,TRUE,"BOUCHARD";"SUMMARY",#N/A,TRUE,"ZECCA";"SUMMARY",#N/A,TRUE,"RIGGIN TOTAL";"SUMMARY",#N/A,TRUE,"REGLI INCR";"SUMMARY",#N/A,TRUE,"SUSKI";"SUMMARY",#N/A,TRUE,"JOHNSON";"SUMMARY",#N/A,TRUE,"CONN";"SUMMARY",#N/A,TRUE,"REGLI TOTAL";"SUMMARY",#N/A,TRUE,"BROWN";"SUMMARY",#N/A,TRUE,"DENIGRIS INC";"SUMMARY",#N/A,TRUE,"DeNIGRIS TOTAL";"IS",#N/A,TRUE,"INC ST"}</definedName>
    <definedName name="SLEVIN" hidden="1">{"SUMMARY",#N/A,TRUE,"RIGGIN INCR";"SUMMARY",#N/A,TRUE,"DEAN";"SUMMARY",#N/A,TRUE,"GAWRYS";"SUMMARY",#N/A,TRUE,"RUSSO GBVS";"SUMMARY",#N/A,TRUE,"RUSSO WW";"SUMMARY",#N/A,TRUE,"RUSSO TOTAL ";"SUMMARY",#N/A,TRUE,"BOUCHARD";"SUMMARY",#N/A,TRUE,"ZECCA";"SUMMARY",#N/A,TRUE,"RIGGIN TOTAL";"SUMMARY",#N/A,TRUE,"REGLI INCR";"SUMMARY",#N/A,TRUE,"SUSKI";"SUMMARY",#N/A,TRUE,"JOHNSON";"SUMMARY",#N/A,TRUE,"CONN";"SUMMARY",#N/A,TRUE,"REGLI TOTAL";"SUMMARY",#N/A,TRUE,"BROWN";"SUMMARY",#N/A,TRUE,"DENIGRIS INC";"SUMMARY",#N/A,TRUE,"DeNIGRIS TOTAL";"IS",#N/A,TRUE,"INC ST"}</definedName>
    <definedName name="spectfdi" localSheetId="4" hidden="1">{"schedule",#N/A,FALSE,"Sum Op's";"input area",#N/A,FALSE,"Sum Op's"}</definedName>
    <definedName name="spectfdi" hidden="1">{"schedule",#N/A,FALSE,"Sum Op's";"input area",#N/A,FALSE,"Sum Op's"}</definedName>
    <definedName name="stock02" localSheetId="4" hidden="1">{#N/A,#N/A,FALSE,"gc (2)"}</definedName>
    <definedName name="stock02" hidden="1">{#N/A,#N/A,FALSE,"gc (2)"}</definedName>
    <definedName name="sv" hidden="1">#REF!</definedName>
    <definedName name="TA" localSheetId="4" hidden="1">{#N/A,#N/A,TRUE,"Financials";#N/A,#N/A,TRUE,"Operating Statistics";#N/A,#N/A,TRUE,"Capex &amp; Depreciation";#N/A,#N/A,TRUE,"Debt"}</definedName>
    <definedName name="TA" hidden="1">{#N/A,#N/A,TRUE,"Financials";#N/A,#N/A,TRUE,"Operating Statistics";#N/A,#N/A,TRUE,"Capex &amp; Depreciation";#N/A,#N/A,TRUE,"Debt"}</definedName>
    <definedName name="Tables" localSheetId="4" hidden="1">{"sales",#N/A,FALSE,"Sales";"sales existing",#N/A,FALSE,"Sales";"sales rd1",#N/A,FALSE,"Sales";"sales rd2",#N/A,FALSE,"Sales"}</definedName>
    <definedName name="Tables" hidden="1">{"sales",#N/A,FALSE,"Sales";"sales existing",#N/A,FALSE,"Sales";"sales rd1",#N/A,FALSE,"Sales";"sales rd2",#N/A,FALSE,"Sales"}</definedName>
    <definedName name="TB" localSheetId="4" hidden="1">{#N/A,#N/A,FALSE,"One Pager";#N/A,#N/A,FALSE,"Technical"}</definedName>
    <definedName name="TB" hidden="1">{#N/A,#N/A,FALSE,"One Pager";#N/A,#N/A,FALSE,"Technical"}</definedName>
    <definedName name="the" localSheetId="4" hidden="1">{#N/A,#N/A,FALSE,"gc (2)"}</definedName>
    <definedName name="the" hidden="1">{#N/A,#N/A,FALSE,"gc (2)"}</definedName>
    <definedName name="TNW_4">#REF!</definedName>
    <definedName name="TNW_5">#REF!</definedName>
    <definedName name="TNW_6">#REF!</definedName>
    <definedName name="TNW_7">#REF!</definedName>
    <definedName name="TNW_8">#REF!</definedName>
    <definedName name="TT" localSheetId="4" hidden="1">{#N/A,#N/A,TRUE,"Financials";#N/A,#N/A,TRUE,"Operating Statistics";#N/A,#N/A,TRUE,"Capex &amp; Depreciation";#N/A,#N/A,TRUE,"Debt"}</definedName>
    <definedName name="TT" hidden="1">{#N/A,#N/A,TRUE,"Financials";#N/A,#N/A,TRUE,"Operating Statistics";#N/A,#N/A,TRUE,"Capex &amp; Depreciation";#N/A,#N/A,TRUE,"Debt"}</definedName>
    <definedName name="uu" localSheetId="4" hidden="1">{#N/A,#N/A,FALSE,"gc (2)"}</definedName>
    <definedName name="uu" hidden="1">{#N/A,#N/A,FALSE,"gc (2)"}</definedName>
    <definedName name="vg" localSheetId="4" hidden="1">{#N/A,#N/A,FALSE,"One Pager";#N/A,#N/A,FALSE,"Technical"}</definedName>
    <definedName name="vg" hidden="1">{#N/A,#N/A,FALSE,"One Pager";#N/A,#N/A,FALSE,"Technical"}</definedName>
    <definedName name="vishnu" localSheetId="4" hidden="1">{#N/A,#N/A,FALSE,"One Pager";#N/A,#N/A,FALSE,"Technical"}</definedName>
    <definedName name="vishnu" hidden="1">{#N/A,#N/A,FALSE,"One Pager";#N/A,#N/A,FALSE,"Technical"}</definedName>
    <definedName name="vk" localSheetId="4" hidden="1">{#N/A,#N/A,FALSE,"One Pager";#N/A,#N/A,FALSE,"Technical"}</definedName>
    <definedName name="vk" hidden="1">{#N/A,#N/A,FALSE,"One Pager";#N/A,#N/A,FALSE,"Technical"}</definedName>
    <definedName name="WC">#REF!</definedName>
    <definedName name="WC_4">#REF!</definedName>
    <definedName name="WC_5">#REF!</definedName>
    <definedName name="WC_6">#REF!</definedName>
    <definedName name="WC_7">#REF!</definedName>
    <definedName name="WC_8">#REF!</definedName>
    <definedName name="wrn.1995._.Analysis." localSheetId="4" hidden="1">{#N/A,#N/A,FALSE,"1995 Rev &amp; Exp"}</definedName>
    <definedName name="wrn.1995._.Analysis." hidden="1">{#N/A,#N/A,FALSE,"1995 Rev &amp; Exp"}</definedName>
    <definedName name="wrn.2701all." localSheetId="4" hidden="1">{#N/A,#N/A,FALSE,"T&amp;E (2)";#N/A,#N/A,FALSE,"R&amp;E SUM";#N/A,#N/A,FALSE,"R&amp;E MONTH";#N/A,#N/A,FALSE,"R&amp;E YEAR";#N/A,#N/A,FALSE,"T&amp;E (1)";#N/A,#N/A,FALSE,"T&amp;E SUM"}</definedName>
    <definedName name="wrn.2701all." hidden="1">{#N/A,#N/A,FALSE,"T&amp;E (2)";#N/A,#N/A,FALSE,"R&amp;E SUM";#N/A,#N/A,FALSE,"R&amp;E MONTH";#N/A,#N/A,FALSE,"R&amp;E YEAR";#N/A,#N/A,FALSE,"T&amp;E (1)";#N/A,#N/A,FALSE,"T&amp;E SUM"}</definedName>
    <definedName name="wrn.2703all." localSheetId="4" hidden="1">{#N/A,#N/A,FALSE,"R&amp;E SUM";#N/A,#N/A,FALSE,"R&amp;E MONTH";#N/A,#N/A,FALSE,"R&amp;E YEAR";#N/A,#N/A,FALSE,"SREV (1)";#N/A,#N/A,FALSE,"SREV(2)";#N/A,#N/A,FALSE,"SREV(3)";#N/A,#N/A,FALSE,"SREV(4)";#N/A,#N/A,FALSE,"OREV (1)";#N/A,#N/A,FALSE,"T&amp;E SUM";#N/A,#N/A,FALSE,"T&amp;E (1)"}</definedName>
    <definedName name="wrn.2703all." hidden="1">{#N/A,#N/A,FALSE,"R&amp;E SUM";#N/A,#N/A,FALSE,"R&amp;E MONTH";#N/A,#N/A,FALSE,"R&amp;E YEAR";#N/A,#N/A,FALSE,"SREV (1)";#N/A,#N/A,FALSE,"SREV(2)";#N/A,#N/A,FALSE,"SREV(3)";#N/A,#N/A,FALSE,"SREV(4)";#N/A,#N/A,FALSE,"OREV (1)";#N/A,#N/A,FALSE,"T&amp;E SUM";#N/A,#N/A,FALSE,"T&amp;E (1)"}</definedName>
    <definedName name="wrn.2705all." localSheetId="4" hidden="1">{#N/A,#N/A,FALSE,"R&amp;E SUM";#N/A,#N/A,FALSE,"R&amp;E MONTH";#N/A,#N/A,FALSE,"R&amp;E YEAR";#N/A,#N/A,FALSE,"OREV (1)";#N/A,#N/A,FALSE,"OREV (2)"}</definedName>
    <definedName name="wrn.2705all." hidden="1">{#N/A,#N/A,FALSE,"R&amp;E SUM";#N/A,#N/A,FALSE,"R&amp;E MONTH";#N/A,#N/A,FALSE,"R&amp;E YEAR";#N/A,#N/A,FALSE,"OREV (1)";#N/A,#N/A,FALSE,"OREV (2)"}</definedName>
    <definedName name="wrn.2706all." localSheetId="4" hidden="1">{#N/A,#N/A,FALSE,"R&amp;E SUM";#N/A,#N/A,FALSE,"R&amp;E MONTH";#N/A,#N/A,FALSE,"R&amp;E YEAR";#N/A,#N/A,FALSE,"SREV (1)";#N/A,#N/A,FALSE,"OREV (1)"}</definedName>
    <definedName name="wrn.2706all." hidden="1">{#N/A,#N/A,FALSE,"R&amp;E SUM";#N/A,#N/A,FALSE,"R&amp;E MONTH";#N/A,#N/A,FALSE,"R&amp;E YEAR";#N/A,#N/A,FALSE,"SREV (1)";#N/A,#N/A,FALSE,"OREV (1)"}</definedName>
    <definedName name="wrn.2707all." localSheetId="4" hidden="1">{#N/A,#N/A,FALSE,"R&amp;E SUM";#N/A,#N/A,FALSE,"R&amp;E MONTH";#N/A,#N/A,FALSE,"R&amp;E YEAR";#N/A,#N/A,FALSE,"SREV (1)";#N/A,#N/A,FALSE,"SREV(2)";#N/A,#N/A,FALSE,"OREV (1)";#N/A,#N/A,FALSE,"rent"}</definedName>
    <definedName name="wrn.2707all." hidden="1">{#N/A,#N/A,FALSE,"R&amp;E SUM";#N/A,#N/A,FALSE,"R&amp;E MONTH";#N/A,#N/A,FALSE,"R&amp;E YEAR";#N/A,#N/A,FALSE,"SREV (1)";#N/A,#N/A,FALSE,"SREV(2)";#N/A,#N/A,FALSE,"OREV (1)";#N/A,#N/A,FALSE,"rent"}</definedName>
    <definedName name="wrn.2711all." localSheetId="4" hidden="1">{#N/A,#N/A,FALSE,"R&amp;E SUM";#N/A,#N/A,FALSE,"R&amp;E MONTH";#N/A,#N/A,FALSE,"R&amp;E YEAR";#N/A,#N/A,FALSE,"OREV (1)";#N/A,#N/A,FALSE,"OREV (2)"}</definedName>
    <definedName name="wrn.2711all." hidden="1">{#N/A,#N/A,FALSE,"R&amp;E SUM";#N/A,#N/A,FALSE,"R&amp;E MONTH";#N/A,#N/A,FALSE,"R&amp;E YEAR";#N/A,#N/A,FALSE,"OREV (1)";#N/A,#N/A,FALSE,"OREV (2)"}</definedName>
    <definedName name="wrn.AkrutiCMA." localSheetId="4" hidden="1">{#N/A,#N/A,FALSE,"OPSTATE";#N/A,#N/A,FALSE,"BSLIABILITY";#N/A,#N/A,FALSE,"BSASSETS";#N/A,#N/A,FALSE,"Sheet1"}</definedName>
    <definedName name="wrn.AkrutiCMA." hidden="1">{#N/A,#N/A,FALSE,"OPSTATE";#N/A,#N/A,FALSE,"BSLIABILITY";#N/A,#N/A,FALSE,"BSASSETS";#N/A,#N/A,FALSE,"Sheet1"}</definedName>
    <definedName name="wrn.ALAN." localSheetId="4" hidden="1">{"CREDIT STATISTICS",#N/A,FALSE,"STATS";"CF_AND_IS",#N/A,FALSE,"PLAN";"DEBT SCHEDULE",#N/A,FALSE,"PLAN";"SUBSCRIBERS",#N/A,FALSE,"PLAN";"DETAIL_REV",#N/A,FALSE,"PLAN";"DETAIL_EXPENSE",#N/A,FALSE,"PLAN";"SALES_AND EXP_DRIVERS",#N/A,FALSE,"PLAN";"FIXED ASSETS",#N/A,FALSE,"PLAN";"DEPRECIATION SCHEDULE",#N/A,FALSE,"PLAN"}</definedName>
    <definedName name="wrn.ALAN." hidden="1">{"CREDIT STATISTICS",#N/A,FALSE,"STATS";"CF_AND_IS",#N/A,FALSE,"PLAN";"DEBT SCHEDULE",#N/A,FALSE,"PLAN";"SUBSCRIBERS",#N/A,FALSE,"PLAN";"DETAIL_REV",#N/A,FALSE,"PLAN";"DETAIL_EXPENSE",#N/A,FALSE,"PLAN";"SALES_AND EXP_DRIVERS",#N/A,FALSE,"PLAN";"FIXED ASSETS",#N/A,FALSE,"PLAN";"DEPRECIATION SCHEDULE",#N/A,FALSE,"PLAN"}</definedName>
    <definedName name="wrn.ALL." localSheetId="4" hidden="1">{#N/A,#N/A,TRUE,"3-Gateway";#N/A,#N/A,TRUE,"4-ByrkitAve.Bus.Ctr.";#N/A,#N/A,TRUE,"5- 851 Marietta Assoc.";#N/A,#N/A,TRUE,"6-Fesslers";#N/A,#N/A,TRUE,"7- 3300 Sample";#N/A,#N/A,TRUE,"8-Blackthorn-Wells";#N/A,#N/A,TRUE,"9-BlackthornNimtz";#N/A,#N/A,TRUE,"10-Willow Trace II";#N/A,#N/A,TRUE,"11-Homeland";#N/A,#N/A,TRUE,"12-Dugdale";#N/A,#N/A,TRUE,"13-Park Center";#N/A,#N/A,TRUE,"14-Michiana";#N/A,#N/A,TRUE,"15-LTV (Niles)";#N/A,#N/A,TRUE,"16-Niles-Colfax";#N/A,#N/A,TRUE,"17-Colfax Place";#N/A,#N/A,TRUE,"18-Pru Office"}</definedName>
    <definedName name="wrn.ALL." hidden="1">{#N/A,#N/A,TRUE,"3-Gateway";#N/A,#N/A,TRUE,"4-ByrkitAve.Bus.Ctr.";#N/A,#N/A,TRUE,"5- 851 Marietta Assoc.";#N/A,#N/A,TRUE,"6-Fesslers";#N/A,#N/A,TRUE,"7- 3300 Sample";#N/A,#N/A,TRUE,"8-Blackthorn-Wells";#N/A,#N/A,TRUE,"9-BlackthornNimtz";#N/A,#N/A,TRUE,"10-Willow Trace II";#N/A,#N/A,TRUE,"11-Homeland";#N/A,#N/A,TRUE,"12-Dugdale";#N/A,#N/A,TRUE,"13-Park Center";#N/A,#N/A,TRUE,"14-Michiana";#N/A,#N/A,TRUE,"15-LTV (Niles)";#N/A,#N/A,TRUE,"16-Niles-Colfax";#N/A,#N/A,TRUE,"17-Colfax Place";#N/A,#N/A,TRUE,"18-Pru Office"}</definedName>
    <definedName name="wrn.All._.Columns._.Month." localSheetId="4" hidden="1">{#N/A,#N/A,FALSE,"Table M";#N/A,#N/A,FALSE,"Graph-F";"All Fcst Month SumOps",#N/A,FALSE,"SumOps";"All Fcst Month SumExp",#N/A,FALSE,"SumExp";"All Fcst Month ExpDept",#N/A,FALSE,"ExpDept";#N/A,#N/A,FALSE,"SumOps";#N/A,#N/A,FALSE,"SumExp";#N/A,#N/A,FALSE,"ExpDept"}</definedName>
    <definedName name="wrn.All._.Columns._.Month." hidden="1">{#N/A,#N/A,FALSE,"Table M";#N/A,#N/A,FALSE,"Graph-F";"All Fcst Month SumOps",#N/A,FALSE,"SumOps";"All Fcst Month SumExp",#N/A,FALSE,"SumExp";"All Fcst Month ExpDept",#N/A,FALSE,"ExpDept";#N/A,#N/A,FALSE,"SumOps";#N/A,#N/A,FALSE,"SumExp";#N/A,#N/A,FALSE,"ExpDept"}</definedName>
    <definedName name="wrn.All._.Inputs." localSheetId="4" hidden="1">{#N/A,#N/A,FALSE,"Primary";#N/A,#N/A,FALSE,"Secondary";#N/A,#N/A,FALSE,"Latent";#N/A,#N/A,FALSE,"Demand Inputs";#N/A,#N/A,FALSE,"Supply Addn";#N/A,#N/A,FALSE,"Mkt Pen"}</definedName>
    <definedName name="wrn.All._.Inputs." hidden="1">{#N/A,#N/A,FALSE,"Primary";#N/A,#N/A,FALSE,"Secondary";#N/A,#N/A,FALSE,"Latent";#N/A,#N/A,FALSE,"Demand Inputs";#N/A,#N/A,FALSE,"Supply Addn";#N/A,#N/A,FALSE,"Mkt Pen"}</definedName>
    <definedName name="wrn.All._.Reports." localSheetId="4" hidden="1">{"Estimated Proforma",#N/A,TRUE,"Prelim. Proforma";"Sales and Marketing Budget",#N/A,TRUE,"S&amp;M Budget";"Summary Cash Flow Grid",#N/A,TRUE,"Cash Flow Grid";"Detail Project Cash Flow",#N/A,TRUE,"Cash Flow Grid";"Financing Calculation",#N/A,TRUE,"Cash Flow Grid";"Cash Flow Graph",#N/A,TRUE,"Cash Flow Graphic";"Final Proforma",#N/A,TRUE,"Final Proforma"}</definedName>
    <definedName name="wrn.All._.Reports." hidden="1">{"Estimated Proforma",#N/A,TRUE,"Prelim. Proforma";"Sales and Marketing Budget",#N/A,TRUE,"S&amp;M Budget";"Summary Cash Flow Grid",#N/A,TRUE,"Cash Flow Grid";"Detail Project Cash Flow",#N/A,TRUE,"Cash Flow Grid";"Financing Calculation",#N/A,TRUE,"Cash Flow Grid";"Cash Flow Graph",#N/A,TRUE,"Cash Flow Graphic";"Final Proforma",#N/A,TRUE,"Final Proforma"}</definedName>
    <definedName name="wrn.all.1" localSheetId="4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wrn.all.1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wrn.Appraisal." localSheetId="4" hidden="1">{#N/A,#N/A,FALSE,"APPRAISAL";#N/A,#N/A,FALSE,"APPRAISAL 2";#N/A,#N/A,FALSE,"APPRAISAL 3"}</definedName>
    <definedName name="wrn.Appraisal." hidden="1">{#N/A,#N/A,FALSE,"APPRAISAL";#N/A,#N/A,FALSE,"APPRAISAL 2";#N/A,#N/A,FALSE,"APPRAISAL 3"}</definedName>
    <definedName name="wrn.Asset._.Management." localSheetId="4" hidden="1">{#N/A,#N/A,FALSE,"ASSET MGMT."}</definedName>
    <definedName name="wrn.Asset._.Management." hidden="1">{#N/A,#N/A,FALSE,"ASSET MGMT."}</definedName>
    <definedName name="wrn.Assumption._.Book." localSheetId="4" hidden="1">{#N/A,#N/A,FALSE,"Model Assumptions"}</definedName>
    <definedName name="wrn.Assumption._.Book." hidden="1">{#N/A,#N/A,FALSE,"Model Assumptions"}</definedName>
    <definedName name="wrn.AVEX._.NCL._.Tower." localSheetId="4" hidden="1">{#N/A,#N/A,FALSE,"North Central Life";#N/A,#N/A,FALSE,"Town Square";#N/A,#N/A,FALSE,"Summary"}</definedName>
    <definedName name="wrn.AVEX._.NCL._.Tower." hidden="1">{#N/A,#N/A,FALSE,"North Central Life";#N/A,#N/A,FALSE,"Town Square";#N/A,#N/A,FALSE,"Summary"}</definedName>
    <definedName name="wrn.backup." localSheetId="4" hidden="1">{"financials",#N/A,FALSE,"BASIC";"interest",#N/A,FALSE,"BASIC";"leasing and financing",#N/A,FALSE,"BASIC";"returns back up",#N/A,FALSE,"BASIC"}</definedName>
    <definedName name="wrn.backup." hidden="1">{"financials",#N/A,FALSE,"BASIC";"interest",#N/A,FALSE,"BASIC";"leasing and financing",#N/A,FALSE,"BASIC";"returns back up",#N/A,FALSE,"BASIC"}</definedName>
    <definedName name="wrn.bank._.model." localSheetId="4" hidden="1">{"banks",#N/A,FALSE,"BASIC"}</definedName>
    <definedName name="wrn.bank._.model." hidden="1">{"banks",#N/A,FALSE,"BASIC"}</definedName>
    <definedName name="wrn.BaseYearDemand." localSheetId="4" hidden="1">{"Base Year Demand",#N/A,FALSE,"Demand-Base Year"}</definedName>
    <definedName name="wrn.BaseYearDemand." hidden="1">{"Base Year Demand",#N/A,FALSE,"Demand-Base Year"}</definedName>
    <definedName name="wrn.BIGGER." localSheetId="4" hidden="1">{"PROFORMA",#N/A,FALSE,"A";"BIGGER 1",#N/A,FALSE,"B";"BIGGER 2",#N/A,FALSE,"B";"BIGGER 3",#N/A,FALSE,"B";"SMALL CF 1",#N/A,FALSE,"C"}</definedName>
    <definedName name="wrn.BIGGER." hidden="1">{"PROFORMA",#N/A,FALSE,"A";"BIGGER 1",#N/A,FALSE,"B";"BIGGER 2",#N/A,FALSE,"B";"BIGGER 3",#N/A,FALSE,"B";"SMALL CF 1",#N/A,FALSE,"C"}</definedName>
    <definedName name="wrn.Birdie." localSheetId="4" hidden="1">{#N/A,#N/A,FALSE,"Trans Summary";#N/A,#N/A,FALSE,"Proforma Five Yr";#N/A,#N/A,FALSE,"Occ and Rate"}</definedName>
    <definedName name="wrn.Birdie." hidden="1">{#N/A,#N/A,FALSE,"Trans Summary";#N/A,#N/A,FALSE,"Proforma Five Yr";#N/A,#N/A,FALSE,"Occ and Rate"}</definedName>
    <definedName name="wrn.BlackWhite." localSheetId="4" hidden="1">{#N/A,#N/A,FALSE,"NNN sum";#N/A,#N/A,FALSE,"10-yr Opt. A Sum";#N/A,#N/A,FALSE,"10-yr Opt A Other Costs";#N/A,#N/A,FALSE,"Purchase Sum";#N/A,#N/A,FALSE,"Purchase Other Costs"}</definedName>
    <definedName name="wrn.BlackWhite." hidden="1">{#N/A,#N/A,FALSE,"NNN sum";#N/A,#N/A,FALSE,"10-yr Opt. A Sum";#N/A,#N/A,FALSE,"10-yr Opt A Other Costs";#N/A,#N/A,FALSE,"Purchase Sum";#N/A,#N/A,FALSE,"Purchase Other Costs"}</definedName>
    <definedName name="wrn.bleu4." localSheetId="4" hidden="1">{#N/A,#N/A,FALSE}</definedName>
    <definedName name="wrn.bleu4." hidden="1">{#N/A,#N/A,FALSE}</definedName>
    <definedName name="wrn.book." localSheetId="4" hidden="1">{"page1",#N/A,FALSE,"net investor returns";"page2",#N/A,FALSE,"net investor returns"}</definedName>
    <definedName name="wrn.book." hidden="1">{"page1",#N/A,FALSE,"net investor returns";"page2",#N/A,FALSE,"net investor returns"}</definedName>
    <definedName name="wrn.Both._.Outputs." localSheetId="4" hidden="1">{"LTV Output",#N/A,FALSE,"Output";"DCR Output",#N/A,FALSE,"Output"}</definedName>
    <definedName name="wrn.Both._.Outputs." hidden="1">{"LTV Output",#N/A,FALSE,"Output";"DCR Output",#N/A,FALSE,"Output"}</definedName>
    <definedName name="wrn.Buildups." localSheetId="4" hidden="1">{"ACQ",#N/A,FALSE,"ACQUISITIONS";"ACQF",#N/A,FALSE,"ACQUISITIONS";"PF",#N/A,FALSE,"PROYECTOVILA";"PV",#N/A,FALSE,"PROYECTOVILA";"Fee Dev",#N/A,FALSE,"DEVELOPMENT GROWTH";"gd",#N/A,FALSE,"DEVELOPMENT GROWTH"}</definedName>
    <definedName name="wrn.Buildups." hidden="1">{"ACQ",#N/A,FALSE,"ACQUISITIONS";"ACQF",#N/A,FALSE,"ACQUISITIONS";"PF",#N/A,FALSE,"PROYECTOVILA";"PV",#N/A,FALSE,"PROYECTOVILA";"Fee Dev",#N/A,FALSE,"DEVELOPMENT GROWTH";"gd",#N/A,FALSE,"DEVELOPMENT GROWTH"}</definedName>
    <definedName name="wrn.Cash._.Flow._.Analysis." localSheetId="4" hidden="1">{"CF",#N/A,FALSE,"Cash Flow";"RET",#N/A,FALSE,"Returns";"NPV",#N/A,FALSE,"Values";"ASMPT",#N/A,FALSE,"Assumptions"}</definedName>
    <definedName name="wrn.Cash._.Flow._.Analysis." hidden="1">{"CF",#N/A,FALSE,"Cash Flow";"RET",#N/A,FALSE,"Returns";"NPV",#N/A,FALSE,"Values";"ASMPT",#N/A,FALSE,"Assumptions"}</definedName>
    <definedName name="wrn.Complete._.Review." localSheetId="4" hidden="1">{#N/A,#N/A,FALSE,"Occ and Rate";#N/A,#N/A,FALSE,"PF Input";#N/A,#N/A,FALSE,"Capital Input";#N/A,#N/A,FALSE,"Proforma Five Yr";#N/A,#N/A,FALSE,"Calculations";#N/A,#N/A,FALSE,"Transaction Summary-DTW"}</definedName>
    <definedName name="wrn.Complete._.Review." hidden="1">{#N/A,#N/A,FALSE,"Occ and Rate";#N/A,#N/A,FALSE,"PF Input";#N/A,#N/A,FALSE,"Capital Input";#N/A,#N/A,FALSE,"Proforma Five Yr";#N/A,#N/A,FALSE,"Calculations";#N/A,#N/A,FALSE,"Transaction Summary-DTW"}</definedName>
    <definedName name="wrn.Conference._.Center._.Financials." localSheetId="4" hidden="1">{#N/A,#N/A,FALSE,"Pro Forma";#N/A,#N/A,FALSE,"Project Summary";#N/A,#N/A,FALSE,"Detail Estimate";#N/A,#N/A,FALSE,"Cashflow Schedule"}</definedName>
    <definedName name="wrn.Conference._.Center._.Financials." hidden="1">{#N/A,#N/A,FALSE,"Pro Forma";#N/A,#N/A,FALSE,"Project Summary";#N/A,#N/A,FALSE,"Detail Estimate";#N/A,#N/A,FALSE,"Cashflow Schedule"}</definedName>
    <definedName name="wrn.Control._.Sheet." localSheetId="4" hidden="1">{#N/A,#N/A,FALSE,"CONTROL"}</definedName>
    <definedName name="wrn.Control._.Sheet." hidden="1">{#N/A,#N/A,FALSE,"CONTROL"}</definedName>
    <definedName name="wrn.Credit._.Summary." localSheetId="4" hidden="1">{#N/A,#N/A,FALSE,"CREDIT"}</definedName>
    <definedName name="wrn.Credit._.Summary." hidden="1">{#N/A,#N/A,FALSE,"CREDIT"}</definedName>
    <definedName name="wrn.data." localSheetId="4" hidden="1">{"data",#N/A,FALSE,"INPUT"}</definedName>
    <definedName name="wrn.data." hidden="1">{"data",#N/A,FALSE,"INPUT"}</definedName>
    <definedName name="wrn.DCR._.Output." localSheetId="4" hidden="1">{"DCR Output",#N/A,FALSE,"Output"}</definedName>
    <definedName name="wrn.DCR._.Output." hidden="1">{"DCR Output",#N/A,FALSE,"Output"}</definedName>
    <definedName name="wrn.Demand._.Calcs." localSheetId="4" hidden="1">{#N/A,#N/A,FALSE,"Demand Calcs"}</definedName>
    <definedName name="wrn.Demand._.Calcs." hidden="1">{#N/A,#N/A,FALSE,"Demand Calcs"}</definedName>
    <definedName name="wrn.Demand._.Inputs." localSheetId="4" hidden="1">{#N/A,#N/A,FALSE,"Demand Inputs"}</definedName>
    <definedName name="wrn.Demand._.Inputs." hidden="1">{#N/A,#N/A,FALSE,"Demand Inputs"}</definedName>
    <definedName name="wrn.dep." localSheetId="4" hidden="1">{"dep. full detail",#N/A,FALSE,"annex";"3cd annex",#N/A,FALSE,"annex";"co. dep.",#N/A,FALSE,"annex"}</definedName>
    <definedName name="wrn.dep." hidden="1">{"dep. full detail",#N/A,FALSE,"annex";"3cd annex",#N/A,FALSE,"annex";"co. dep.",#N/A,FALSE,"annex"}</definedName>
    <definedName name="wrn.DEPTS." localSheetId="4" hidden="1">{#N/A,#N/A,FALSE,"2701";#N/A,#N/A,FALSE,"2702";#N/A,#N/A,FALSE,"2703";#N/A,#N/A,FALSE,"2704";#N/A,#N/A,FALSE,"2705";#N/A,#N/A,FALSE,"2706";#N/A,#N/A,FALSE,"2707";#N/A,#N/A,FALSE,"2708";#N/A,#N/A,FALSE,"2709";#N/A,#N/A,FALSE,"2710";#N/A,#N/A,FALSE,"2711";#N/A,#N/A,FALSE,"2712";#N/A,#N/A,FALSE,"2713";#N/A,#N/A,FALSE,"2714";#N/A,#N/A,FALSE,"2715";#N/A,#N/A,FALSE,"2716";#N/A,#N/A,FALSE,"2718";#N/A,#N/A,FALSE,"2719";#N/A,#N/A,FALSE,"ASL"}</definedName>
    <definedName name="wrn.DEPTS." hidden="1">{#N/A,#N/A,FALSE,"2701";#N/A,#N/A,FALSE,"2702";#N/A,#N/A,FALSE,"2703";#N/A,#N/A,FALSE,"2704";#N/A,#N/A,FALSE,"2705";#N/A,#N/A,FALSE,"2706";#N/A,#N/A,FALSE,"2707";#N/A,#N/A,FALSE,"2708";#N/A,#N/A,FALSE,"2709";#N/A,#N/A,FALSE,"2710";#N/A,#N/A,FALSE,"2711";#N/A,#N/A,FALSE,"2712";#N/A,#N/A,FALSE,"2713";#N/A,#N/A,FALSE,"2714";#N/A,#N/A,FALSE,"2715";#N/A,#N/A,FALSE,"2716";#N/A,#N/A,FALSE,"2718";#N/A,#N/A,FALSE,"2719";#N/A,#N/A,FALSE,"ASL"}</definedName>
    <definedName name="wrn.detail." localSheetId="4" hidden="1">{"Build1",#N/A,FALSE,"Buildup";"Build2",#N/A,FALSE,"Buildup";"Build3",#N/A,FALSE,"Buildup"}</definedName>
    <definedName name="wrn.detail." hidden="1">{"Build1",#N/A,FALSE,"Buildup";"Build2",#N/A,FALSE,"Buildup";"Build3",#N/A,FALSE,"Buildup"}</definedName>
    <definedName name="wrn.Engineering." localSheetId="4" hidden="1">{#N/A,#N/A,FALSE,"ENGINEERING"}</definedName>
    <definedName name="wrn.Engineering." hidden="1">{#N/A,#N/A,FALSE,"ENGINEERING"}</definedName>
    <definedName name="wrn.Environmental." localSheetId="4" hidden="1">{#N/A,#N/A,FALSE,"ENVIRONMENTAL"}</definedName>
    <definedName name="wrn.Environmental." hidden="1">{#N/A,#N/A,FALSE,"ENVIRONMENTAL"}</definedName>
    <definedName name="wrn.EVEREST." localSheetId="4" hidden="1">{#N/A,#N/A,FALSE,"BANKLIMITS";#N/A,#N/A,FALSE,"OPSTATE";#N/A,#N/A,FALSE,"BSLIABILITY";#N/A,#N/A,FALSE,"BSASSETS";#N/A,#N/A,FALSE,"CABUILDUP";#N/A,#N/A,FALSE,"WCASSESS";#N/A,#N/A,FALSE,"FUNDFLOW";#N/A,#N/A,FALSE,"DSCR";#N/A,#N/A,FALSE,"RATIOS";#N/A,#N/A,FALSE,"Term loan"}</definedName>
    <definedName name="wrn.EVEREST." hidden="1">{#N/A,#N/A,FALSE,"BANKLIMITS";#N/A,#N/A,FALSE,"OPSTATE";#N/A,#N/A,FALSE,"BSLIABILITY";#N/A,#N/A,FALSE,"BSASSETS";#N/A,#N/A,FALSE,"CABUILDUP";#N/A,#N/A,FALSE,"WCASSESS";#N/A,#N/A,FALSE,"FUNDFLOW";#N/A,#N/A,FALSE,"DSCR";#N/A,#N/A,FALSE,"RATIOS";#N/A,#N/A,FALSE,"Term loan"}</definedName>
    <definedName name="wrn.Executive._.Summary._.Reports." localSheetId="4" hidden="1">{"Estimated Proforma (Prelim. Proforma)",#N/A,TRUE,"Prelim. Proforma";"Summary Cash Flow Grid",#N/A,TRUE,"Cash Flow Grid";"Final Proforma (Final Proforma)",#N/A,TRUE,"Final Proforma";"Cash Flow Graph (Cash Flow Graphic)",#N/A,TRUE,"Cash Flow Graphic"}</definedName>
    <definedName name="wrn.Executive._.Summary._.Reports." hidden="1">{"Estimated Proforma (Prelim. Proforma)",#N/A,TRUE,"Prelim. Proforma";"Summary Cash Flow Grid",#N/A,TRUE,"Cash Flow Grid";"Final Proforma (Final Proforma)",#N/A,TRUE,"Final Proforma";"Cash Flow Graph (Cash Flow Graphic)",#N/A,TRUE,"Cash Flow Graphic"}</definedName>
    <definedName name="wrn.Fair._.Share._.Calcs." localSheetId="4" hidden="1">{#N/A,#N/A,FALSE,"Fair Share"}</definedName>
    <definedName name="wrn.Fair._.Share._.Calcs." hidden="1">{#N/A,#N/A,FALSE,"Fair Share"}</definedName>
    <definedName name="wrn.Feb98." localSheetId="4" hidden="1">{"sheet a",#N/A,FALSE,"A";"2 9 casflow",#N/A,FALSE,"B"}</definedName>
    <definedName name="wrn.Feb98." hidden="1">{"sheet a",#N/A,FALSE,"A";"2 9 casflow",#N/A,FALSE,"B"}</definedName>
    <definedName name="wrn.Final._.Output." localSheetId="4" hidden="1">{#N/A,#N/A,FALSE,"Final Output"}</definedName>
    <definedName name="wrn.Final._.Output." hidden="1">{#N/A,#N/A,FALSE,"Final Output"}</definedName>
    <definedName name="wrn.Financials_long." localSheetId="4" hidden="1">{"IS",#N/A,FALSE,"Financials2 (Expanded)";"bsa",#N/A,FALSE,"Financials2 (Expanded)";"BS",#N/A,FALSE,"Financials2 (Expanded)";"CF",#N/A,FALSE,"Financials2 (Expanded)"}</definedName>
    <definedName name="wrn.Financials_long." hidden="1">{"IS",#N/A,FALSE,"Financials2 (Expanded)";"bsa",#N/A,FALSE,"Financials2 (Expanded)";"BS",#N/A,FALSE,"Financials2 (Expanded)";"CF",#N/A,FALSE,"Financials2 (Expanded)"}</definedName>
    <definedName name="wrn.FULL._.COMPARISON." localSheetId="4" hidden="1">{"Full Sheet",#N/A,FALSE,"Expense Comparison"}</definedName>
    <definedName name="wrn.FULL._.COMPARISON." hidden="1">{"Full Sheet",#N/A,FALSE,"Expense Comparison"}</definedName>
    <definedName name="wrn.Full._.Financials." localSheetId="4" hidden="1">{#N/A,#N/A,TRUE,"Financials";#N/A,#N/A,TRUE,"Operating Statistics";#N/A,#N/A,TRUE,"Capex &amp; Depreciation";#N/A,#N/A,TRUE,"Debt"}</definedName>
    <definedName name="wrn.Full._.Financials." hidden="1">{#N/A,#N/A,TRUE,"Financials";#N/A,#N/A,TRUE,"Operating Statistics";#N/A,#N/A,TRUE,"Capex &amp; Depreciation";#N/A,#N/A,TRUE,"Debt"}</definedName>
    <definedName name="wrn.Full._.Monty." localSheetId="4" hidden="1">{"ROIC",#N/A,FALSE,"ROIC";"Graphs",#N/A,FALSE,"TY analysis";"fcf",#N/A,FALSE,"FCF";"Matrix_2004",#N/A,FALSE,"MATRIX(2004)";"matrix_2008",#N/A,FALSE,"MATRIX(2008)";"FS_Condensed",#N/A,FALSE,"Financial Statements2";"TAXES",#N/A,FALSE,"Taxes";"DEBT_INVEST",#N/A,FALSE,"Debt&amp;Investment Schedule";"Main_menu",#N/A,FALSE,"Main Menu"}</definedName>
    <definedName name="wrn.Full._.Monty." hidden="1">{"ROIC",#N/A,FALSE,"ROIC";"Graphs",#N/A,FALSE,"TY analysis";"fcf",#N/A,FALSE,"FCF";"Matrix_2004",#N/A,FALSE,"MATRIX(2004)";"matrix_2008",#N/A,FALSE,"MATRIX(2008)";"FS_Condensed",#N/A,FALSE,"Financial Statements2";"TAXES",#N/A,FALSE,"Taxes";"DEBT_INVEST",#N/A,FALSE,"Debt&amp;Investment Schedule";"Main_menu",#N/A,FALSE,"Main Menu"}</definedName>
    <definedName name="wrn.Full._.Presentation." localSheetId="4" hidden="1">{#N/A,#N/A,FALSE,"SUMOPS";#N/A,#N/A,FALSE,"REVCAT";#N/A,#N/A,FALSE,"REV-SUM";#N/A,#N/A,FALSE,"REV-DETAIL";#N/A,#N/A,FALSE,"COS-DETAIL";#N/A,#N/A,FALSE,"PROJ VAR";#N/A,#N/A,FALSE,"C-EXP";#N/A,#N/A,FALSE,"3550";#N/A,#N/A,FALSE,"3551";#N/A,#N/A,FALSE,"3552";#N/A,#N/A,FALSE,"3553";#N/A,#N/A,FALSE,"3554";#N/A,#N/A,FALSE,"3555";#N/A,#N/A,FALSE,"3556";#N/A,#N/A,FALSE,"3557";#N/A,#N/A,FALSE,"3558";#N/A,#N/A,FALSE,"3559";#N/A,#N/A,FALSE,"3560";#N/A,#N/A,FALSE,"3561";#N/A,#N/A,FALSE,"3562";#N/A,#N/A,FALSE,"SUMOPSD";#N/A,#N/A,FALSE,"CASH FLOW"}</definedName>
    <definedName name="wrn.Full._.Presentation." hidden="1">{#N/A,#N/A,FALSE,"SUMOPS";#N/A,#N/A,FALSE,"REVCAT";#N/A,#N/A,FALSE,"REV-SUM";#N/A,#N/A,FALSE,"REV-DETAIL";#N/A,#N/A,FALSE,"COS-DETAIL";#N/A,#N/A,FALSE,"PROJ VAR";#N/A,#N/A,FALSE,"C-EXP";#N/A,#N/A,FALSE,"3550";#N/A,#N/A,FALSE,"3551";#N/A,#N/A,FALSE,"3552";#N/A,#N/A,FALSE,"3553";#N/A,#N/A,FALSE,"3554";#N/A,#N/A,FALSE,"3555";#N/A,#N/A,FALSE,"3556";#N/A,#N/A,FALSE,"3557";#N/A,#N/A,FALSE,"3558";#N/A,#N/A,FALSE,"3559";#N/A,#N/A,FALSE,"3560";#N/A,#N/A,FALSE,"3561";#N/A,#N/A,FALSE,"3562";#N/A,#N/A,FALSE,"SUMOPSD";#N/A,#N/A,FALSE,"CASH FLOW"}</definedName>
    <definedName name="wrn.full._.report." localSheetId="4" hidden="1">{"summary",#N/A,FALSE,"Summary";"transaction",#N/A,FALSE,"Transaction";"sales",#N/A,FALSE,"Sales";"sales existing",#N/A,FALSE,"Sales";"sales rd1",#N/A,FALSE,"Sales";"sales rd2",#N/A,FALSE,"Sales";"costs",#N/A,FALSE,"Costs";"income statement",#N/A,FALSE,"Financials";"cash flow statement",#N/A,FALSE,"Financials";"balance sheet",#N/A,FALSE,"Financials";"consolidated capitalization",#N/A,FALSE,"Financials";"op co. capitalization",#N/A,FALSE,"Financials";"ebitda",#N/A,FALSE,"EBITDA";"profit imp opps",#N/A,FALSE,"EBITDA";"returns",#N/A,FALSE,"Equity &amp; Sub Valuation"}</definedName>
    <definedName name="wrn.full._.report." hidden="1">{"summary",#N/A,FALSE,"Summary";"transaction",#N/A,FALSE,"Transaction";"sales",#N/A,FALSE,"Sales";"sales existing",#N/A,FALSE,"Sales";"sales rd1",#N/A,FALSE,"Sales";"sales rd2",#N/A,FALSE,"Sales";"costs",#N/A,FALSE,"Costs";"income statement",#N/A,FALSE,"Financials";"cash flow statement",#N/A,FALSE,"Financials";"balance sheet",#N/A,FALSE,"Financials";"consolidated capitalization",#N/A,FALSE,"Financials";"op co. capitalization",#N/A,FALSE,"Financials";"ebitda",#N/A,FALSE,"EBITDA";"profit imp opps",#N/A,FALSE,"EBITDA";"returns",#N/A,FALSE,"Equity &amp; Sub Valuation"}</definedName>
    <definedName name="wrn.full.fin.1" localSheetId="4" hidden="1">{#N/A,#N/A,TRUE,"Financials";#N/A,#N/A,TRUE,"Operating Statistics";#N/A,#N/A,TRUE,"Capex &amp; Depreciation";#N/A,#N/A,TRUE,"Debt"}</definedName>
    <definedName name="wrn.full.fin.1" hidden="1">{#N/A,#N/A,TRUE,"Financials";#N/A,#N/A,TRUE,"Operating Statistics";#N/A,#N/A,TRUE,"Capex &amp; Depreciation";#N/A,#N/A,TRUE,"Debt"}</definedName>
    <definedName name="wrn.G.C.P.L.." localSheetId="4" hidden="1">{#N/A,#N/A,FALSE,"gc (2)"}</definedName>
    <definedName name="wrn.G.C.P.L.." hidden="1">{#N/A,#N/A,FALSE,"gc (2)"}</definedName>
    <definedName name="wrn.GSA._.PRINT." localSheetId="4" hidden="1">{#N/A,#N/A,FALSE,"DEV COSTS";#N/A,#N/A,FALSE,"10-YR C. F."}</definedName>
    <definedName name="wrn.GSA._.PRINT." hidden="1">{#N/A,#N/A,FALSE,"DEV COSTS";#N/A,#N/A,FALSE,"10-YR C. F."}</definedName>
    <definedName name="wrn.Historical._.Analysis." localSheetId="4" hidden="1">{#N/A,#N/A,FALSE,"HISTORICAL REV &amp; EXP"}</definedName>
    <definedName name="wrn.Historical._.Analysis." hidden="1">{#N/A,#N/A,FALSE,"HISTORICAL REV &amp; EXP"}</definedName>
    <definedName name="wrn.Hotel._.and._.Conf._.Center._.Owner._.Returns." localSheetId="4" hidden="1">{#N/A,#N/A,FALSE,"Combined Returns";#N/A,#N/A,FALSE,"Tax Returns";#N/A,#N/A,FALSE,"Cash Returns"}</definedName>
    <definedName name="wrn.Hotel._.and._.Conf._.Center._.Owner._.Returns." hidden="1">{#N/A,#N/A,FALSE,"Combined Returns";#N/A,#N/A,FALSE,"Tax Returns";#N/A,#N/A,FALSE,"Cash Returns"}</definedName>
    <definedName name="wrn.Hotel._.Financials." localSheetId="4" hidden="1">{#N/A,#N/A,FALSE,"Pro Forma";#N/A,#N/A,FALSE,"Project Summary";#N/A,#N/A,FALSE,"Detail Estimate";#N/A,#N/A,FALSE,"Cashflow Schedule"}</definedName>
    <definedName name="wrn.Hotel._.Financials." hidden="1">{#N/A,#N/A,FALSE,"Pro Forma";#N/A,#N/A,FALSE,"Project Summary";#N/A,#N/A,FALSE,"Detail Estimate";#N/A,#N/A,FALSE,"Cashflow Schedule"}</definedName>
    <definedName name="wrn.Index." localSheetId="4" hidden="1">{#N/A,#N/A,FALSE,"INDEX"}</definedName>
    <definedName name="wrn.Index." hidden="1">{#N/A,#N/A,FALSE,"INDEX"}</definedName>
    <definedName name="wrn.Inputs." localSheetId="4" hidden="1">{"Inflation-BaseYear",#N/A,FALSE,"Inputs"}</definedName>
    <definedName name="wrn.Inputs." hidden="1">{"Inflation-BaseYear",#N/A,FALSE,"Inputs"}</definedName>
    <definedName name="wrn.Investment._.Review." localSheetId="4" hidden="1">{#N/A,#N/A,FALSE,"Proforma Five Yr";#N/A,#N/A,FALSE,"Capital Input";#N/A,#N/A,FALSE,"Calculations";#N/A,#N/A,FALSE,"Transaction Summary-DTW"}</definedName>
    <definedName name="wrn.Investment._.Review." hidden="1">{#N/A,#N/A,FALSE,"Proforma Five Yr";#N/A,#N/A,FALSE,"Capital Input";#N/A,#N/A,FALSE,"Calculations";#N/A,#N/A,FALSE,"Transaction Summary-DTW"}</definedName>
    <definedName name="wrn.Investment._.Summary._.Golf._.Suites." localSheetId="4" hidden="1">{"Preferred Equity IRR",#N/A,FALSE,"PROFORMA";"GP Cash Flow and IRR",#N/A,FALSE,"PROFORMA"}</definedName>
    <definedName name="wrn.Investment._.Summary._.Golf._.Suites." hidden="1">{"Preferred Equity IRR",#N/A,FALSE,"PROFORMA";"GP Cash Flow and IRR",#N/A,FALSE,"PROFORMA"}</definedName>
    <definedName name="wrn.jan._.98." localSheetId="4" hidden="1">{"sheet a",#N/A,FALSE,"A";"sheet b 1",#N/A,FALSE,"B";"sheet b 2",#N/A,FALSE,"B"}</definedName>
    <definedName name="wrn.jan._.98." hidden="1">{"sheet a",#N/A,FALSE,"A";"sheet b 1",#N/A,FALSE,"B";"sheet b 2",#N/A,FALSE,"B"}</definedName>
    <definedName name="wrn.Latent._.Demand._.Inputs." localSheetId="4" hidden="1">{#N/A,#N/A,FALSE,"Latent"}</definedName>
    <definedName name="wrn.Latent._.Demand._.Inputs." hidden="1">{#N/A,#N/A,FALSE,"Latent"}</definedName>
    <definedName name="wrn.Leases." localSheetId="4" hidden="1">{#N/A,#N/A,FALSE,"Leases"}</definedName>
    <definedName name="wrn.Leases." hidden="1">{#N/A,#N/A,FALSE,"Leases"}</definedName>
    <definedName name="wrn.Loan._.Pricing._.Analysis." localSheetId="4" hidden="1">{#N/A,#N/A,FALSE,"LOAN ANALYSIS"}</definedName>
    <definedName name="wrn.Loan._.Pricing._.Analysis." hidden="1">{#N/A,#N/A,FALSE,"LOAN ANALYSIS"}</definedName>
    <definedName name="wrn.LTCG." localSheetId="4" hidden="1">{"office ltcg",#N/A,FALSE,"gain01";"IT LTCG",#N/A,FALSE,"gain01"}</definedName>
    <definedName name="wrn.LTCG." hidden="1">{"office ltcg",#N/A,FALSE,"gain01";"IT LTCG",#N/A,FALSE,"gain01"}</definedName>
    <definedName name="wrn.LTV._.Output." localSheetId="4" hidden="1">{"LTV Output",#N/A,FALSE,"Output"}</definedName>
    <definedName name="wrn.LTV._.Output." hidden="1">{"LTV Output",#N/A,FALSE,"Output"}</definedName>
    <definedName name="wrn.Master._.Developer._.Cash._.Flow." localSheetId="4" hidden="1">{#N/A,#N/A,FALSE,"Assumptions";#N/A,#N/A,FALSE,"Master Dev P&amp;L"}</definedName>
    <definedName name="wrn.Master._.Developer._.Cash._.Flow." hidden="1">{#N/A,#N/A,FALSE,"Assumptions";#N/A,#N/A,FALSE,"Master Dev P&amp;L"}</definedName>
    <definedName name="wrn.MGTSUMRPT." localSheetId="4" hidden="1">{#N/A,#N/A,FALSE,"CONSOLID";#N/A,#N/A,FALSE,"SPS &amp; POST";#N/A,#N/A,FALSE,"STUD-OPS";#N/A,#N/A,FALSE,"SUMOPS";#N/A,#N/A,FALSE,"EXECSUM";#N/A,#N/A,FALSE,"GRAPHS";#N/A,#N/A,FALSE,"REV-STG";#N/A,#N/A,FALSE,"SUMEXP";#N/A,#N/A,FALSE,"Rec-Rev-Mo";#N/A,#N/A,FALSE,"Rec-Rev-YTD";#N/A,#N/A,FALSE,"Rec-Month";#N/A,#N/A,FALSE,"Rec-YTD";#N/A,#N/A,FALSE,"STG-UTIL";#N/A,#N/A,FALSE,"OFFICE REV";#N/A,#N/A,FALSE,"INVENTORY";#N/A,#N/A,FALSE,"M&amp;R-ADMIN";#N/A,#N/A,FALSE,"M&amp;R-TOTAL";#N/A,#N/A,FALSE,"PROP-WARD"}</definedName>
    <definedName name="wrn.MGTSUMRPT." hidden="1">{#N/A,#N/A,FALSE,"CONSOLID";#N/A,#N/A,FALSE,"SPS &amp; POST";#N/A,#N/A,FALSE,"STUD-OPS";#N/A,#N/A,FALSE,"SUMOPS";#N/A,#N/A,FALSE,"EXECSUM";#N/A,#N/A,FALSE,"GRAPHS";#N/A,#N/A,FALSE,"REV-STG";#N/A,#N/A,FALSE,"SUMEXP";#N/A,#N/A,FALSE,"Rec-Rev-Mo";#N/A,#N/A,FALSE,"Rec-Rev-YTD";#N/A,#N/A,FALSE,"Rec-Month";#N/A,#N/A,FALSE,"Rec-YTD";#N/A,#N/A,FALSE,"STG-UTIL";#N/A,#N/A,FALSE,"OFFICE REV";#N/A,#N/A,FALSE,"INVENTORY";#N/A,#N/A,FALSE,"M&amp;R-ADMIN";#N/A,#N/A,FALSE,"M&amp;R-TOTAL";#N/A,#N/A,FALSE,"PROP-WARD"}</definedName>
    <definedName name="wrn.MODEL." localSheetId="4" hidden="1">{"IS",#N/A,FALSE,"Income Statement";"ISR",#N/A,FALSE,"Income Statement Ratios";"BS",#N/A,FALSE,"Balance Sheet";"BSR",#N/A,FALSE,"Balance Sheet Ratios";"CF",#N/A,FALSE,"Cash Flow";"SALES",#N/A,FALSE,"Sales Analysis";"RR",#N/A,FALSE,"Recent Results"}</definedName>
    <definedName name="wrn.MODEL." hidden="1">{"IS",#N/A,FALSE,"Income Statement";"ISR",#N/A,FALSE,"Income Statement Ratios";"BS",#N/A,FALSE,"Balance Sheet";"BSR",#N/A,FALSE,"Balance Sheet Ratios";"CF",#N/A,FALSE,"Cash Flow";"SALES",#N/A,FALSE,"Sales Analysis";"RR",#N/A,FALSE,"Recent Results"}</definedName>
    <definedName name="wrn.Month." localSheetId="4" hidden="1">{"Month SumOps",#N/A,FALSE,"SumOps";"Month SumGP",#N/A,FALSE,"SumGP";"Month SumExp",#N/A,FALSE,"SumExp";"Month ExpDept",#N/A,FALSE,"ExpDept"}</definedName>
    <definedName name="wrn.Month." hidden="1">{"Month SumOps",#N/A,FALSE,"SumOps";"Month SumGP",#N/A,FALSE,"SumGP";"Month SumExp",#N/A,FALSE,"SumExp";"Month ExpDept",#N/A,FALSE,"ExpDept"}</definedName>
    <definedName name="wrn.Monthly._.Detail._.Reports." localSheetId="4" hidden="1">{"Detail Project Cash Flow",#N/A,TRUE,"Cash Flow Grid";"Financing Calculation",#N/A,TRUE,"Cash Flow Grid"}</definedName>
    <definedName name="wrn.Monthly._.Detail._.Reports." hidden="1">{"Detail Project Cash Flow",#N/A,TRUE,"Cash Flow Grid";"Financing Calculation",#N/A,TRUE,"Cash Flow Grid"}</definedName>
    <definedName name="wrn.NCL._.Tower._.Five._.Year._.Hold." localSheetId="4" hidden="1">{#N/A,#N/A,FALSE,"North Central Life";#N/A,#N/A,FALSE,"Town Square";#N/A,#N/A,FALSE,"Summary"}</definedName>
    <definedName name="wrn.NCL._.Tower._.Five._.Year._.Hold." hidden="1">{#N/A,#N/A,FALSE,"North Central Life";#N/A,#N/A,FALSE,"Town Square";#N/A,#N/A,FALSE,"Summary"}</definedName>
    <definedName name="wrn.NoAptRR." localSheetId="4" hidden="1">{#N/A,#N/A,FALSE,"AptStabYr";#N/A,#N/A,FALSE,"Hard Costs";#N/A,#N/A,FALSE,"Project Costs ";#N/A,#N/A,FALSE,"Draw M1-18";#N/A,#N/A,FALSE,"LeaseUpHotel";#N/A,#N/A,FALSE,"Apt10YrCF";#N/A,#N/A,FALSE,"Hotel CF";#N/A,#N/A,FALSE,"LeaseUpApt"}</definedName>
    <definedName name="wrn.NoAptRR." hidden="1">{#N/A,#N/A,FALSE,"AptStabYr";#N/A,#N/A,FALSE,"Hard Costs";#N/A,#N/A,FALSE,"Project Costs ";#N/A,#N/A,FALSE,"Draw M1-18";#N/A,#N/A,FALSE,"LeaseUpHotel";#N/A,#N/A,FALSE,"Apt10YrCF";#N/A,#N/A,FALSE,"Hotel CF";#N/A,#N/A,FALSE,"LeaseUpApt"}</definedName>
    <definedName name="wrn.Occupancy._.Calcs." localSheetId="4" hidden="1">{#N/A,#N/A,FALSE,"Occ. Calcs"}</definedName>
    <definedName name="wrn.Occupancy._.Calcs." hidden="1">{#N/A,#N/A,FALSE,"Occ. Calcs"}</definedName>
    <definedName name="wrn.One._.Pager._.plus._.Technicals." localSheetId="4" hidden="1">{#N/A,#N/A,FALSE,"One Pager";#N/A,#N/A,FALSE,"Technical"}</definedName>
    <definedName name="wrn.One._.Pager._.plus._.Technicals." hidden="1">{#N/A,#N/A,FALSE,"One Pager";#N/A,#N/A,FALSE,"Technical"}</definedName>
    <definedName name="wrn.Operations._.Review." localSheetId="4" hidden="1">{#N/A,#N/A,FALSE,"Proforma Five Yr";#N/A,#N/A,FALSE,"Occ and Rate";#N/A,#N/A,FALSE,"PF Input";#N/A,#N/A,FALSE,"Hotcomps"}</definedName>
    <definedName name="wrn.Operations._.Review." hidden="1">{#N/A,#N/A,FALSE,"Proforma Five Yr";#N/A,#N/A,FALSE,"Occ and Rate";#N/A,#N/A,FALSE,"PF Input";#N/A,#N/A,FALSE,"Hotcomps"}</definedName>
    <definedName name="wrn.Ops._.Charlie._.Packet." localSheetId="4" hidden="1">{#N/A,#N/A,FALSE,"Proforma Five Yr";#N/A,#N/A,FALSE,"Occ and Rate";#N/A,#N/A,FALSE,"PF Input";#N/A,#N/A,FALSE,"Ops Summary";#N/A,#N/A,FALSE,"Hotcomps"}</definedName>
    <definedName name="wrn.Ops._.Charlie._.Packet." hidden="1">{#N/A,#N/A,FALSE,"Proforma Five Yr";#N/A,#N/A,FALSE,"Occ and Rate";#N/A,#N/A,FALSE,"PF Input";#N/A,#N/A,FALSE,"Ops Summary";#N/A,#N/A,FALSE,"Hotcomps"}</definedName>
    <definedName name="wrn.Output3Column." localSheetId="4" hidden="1">{"Output-3Column",#N/A,FALSE,"Output"}</definedName>
    <definedName name="wrn.Output3Column." hidden="1">{"Output-3Column",#N/A,FALSE,"Output"}</definedName>
    <definedName name="wrn.OutputAll." localSheetId="4" hidden="1">{"Output-All",#N/A,FALSE,"Output"}</definedName>
    <definedName name="wrn.OutputAll." hidden="1">{"Output-All",#N/A,FALSE,"Output"}</definedName>
    <definedName name="wrn.OutputBaseYear." localSheetId="4" hidden="1">{"Output-BaseYear",#N/A,FALSE,"Output"}</definedName>
    <definedName name="wrn.OutputBaseYear." hidden="1">{"Output-BaseYear",#N/A,FALSE,"Output"}</definedName>
    <definedName name="wrn.OutputMin." localSheetId="4" hidden="1">{"Output-Min",#N/A,FALSE,"Output"}</definedName>
    <definedName name="wrn.OutputMin." hidden="1">{"Output-Min",#N/A,FALSE,"Output"}</definedName>
    <definedName name="wrn.OutputPercent." localSheetId="4" hidden="1">{"Output%",#N/A,FALSE,"Output"}</definedName>
    <definedName name="wrn.OutputPercent." hidden="1">{"Output%",#N/A,FALSE,"Output"}</definedName>
    <definedName name="wrn.PARTIAL." localSheetId="4" hidden="1">{"new",#N/A,FALSE,"D";"PROFORMA",#N/A,FALSE,"A";"partial 1",#N/A,FALSE,"B";"partial 2",#N/A,FALSE,"B";"partial 3",#N/A,FALSE,"B";"SMALL CF 1",#N/A,FALSE,"C"}</definedName>
    <definedName name="wrn.PARTIAL." hidden="1">{"new",#N/A,FALSE,"D";"PROFORMA",#N/A,FALSE,"A";"partial 1",#N/A,FALSE,"B";"partial 2",#N/A,FALSE,"B";"partial 3",#N/A,FALSE,"B";"SMALL CF 1",#N/A,FALSE,"C"}</definedName>
    <definedName name="wrn.Penetration." localSheetId="4" hidden="1">{#N/A,#N/A,FALSE,"Mkt Pen"}</definedName>
    <definedName name="wrn.Penetration." hidden="1">{#N/A,#N/A,FALSE,"Mkt Pen"}</definedName>
    <definedName name="wrn.Phase._.I." localSheetId="4" hidden="1">{#N/A,#N/A,FALSE,"Transaction Summary-DTW";#N/A,#N/A,FALSE,"Proforma Five Yr";#N/A,#N/A,FALSE,"Occ and Rate"}</definedName>
    <definedName name="wrn.Phase._.I." hidden="1">{#N/A,#N/A,FALSE,"Transaction Summary-DTW";#N/A,#N/A,FALSE,"Proforma Five Yr";#N/A,#N/A,FALSE,"Occ and Rate"}</definedName>
    <definedName name="wrn.Presentation." localSheetId="4" hidden="1">{#N/A,#N/A,FALSE,"INDEX";#N/A,#N/A,FALSE,"CONTROL";#N/A,#N/A,FALSE,"COMPLIANCE";#N/A,#N/A,FALSE,"OVERVIEW";#N/A,#N/A,FALSE,"OVERVIEW 1";#N/A,#N/A,FALSE,"1995 Rev &amp; Exp";#N/A,#N/A,FALSE,"HISTORICAL REV &amp; EXP";#N/A,#N/A,FALSE,"LEASES";#N/A,#N/A,FALSE,"APPRAISAL";#N/A,#N/A,FALSE,"APPRAISAL 2";#N/A,#N/A,FALSE,"APPRAISAL 3";#N/A,#N/A,FALSE,"ENGINEERING";#N/A,#N/A,FALSE,"ENVIRONMENTAL";#N/A,#N/A,FALSE,"CREDIT";#N/A,#N/A,FALSE,"ASSET MGMT.";#N/A,#N/A,FALSE,"LOAN ANALYSIS";#N/A,#N/A,FALSE,"SOURCES &amp; USES";#N/A,#N/A,FALSE,"Working List"}</definedName>
    <definedName name="wrn.Presentation." hidden="1">{#N/A,#N/A,FALSE,"INDEX";#N/A,#N/A,FALSE,"CONTROL";#N/A,#N/A,FALSE,"COMPLIANCE";#N/A,#N/A,FALSE,"OVERVIEW";#N/A,#N/A,FALSE,"OVERVIEW 1";#N/A,#N/A,FALSE,"1995 Rev &amp; Exp";#N/A,#N/A,FALSE,"HISTORICAL REV &amp; EXP";#N/A,#N/A,FALSE,"LEASES";#N/A,#N/A,FALSE,"APPRAISAL";#N/A,#N/A,FALSE,"APPRAISAL 2";#N/A,#N/A,FALSE,"APPRAISAL 3";#N/A,#N/A,FALSE,"ENGINEERING";#N/A,#N/A,FALSE,"ENVIRONMENTAL";#N/A,#N/A,FALSE,"CREDIT";#N/A,#N/A,FALSE,"ASSET MGMT.";#N/A,#N/A,FALSE,"LOAN ANALYSIS";#N/A,#N/A,FALSE,"SOURCES &amp; USES";#N/A,#N/A,FALSE,"Working List"}</definedName>
    <definedName name="wrn.Primary._.Competition." localSheetId="4" hidden="1">{#N/A,#N/A,FALSE,"Primary"}</definedName>
    <definedName name="wrn.Primary._.Competition." hidden="1">{#N/A,#N/A,FALSE,"Primary"}</definedName>
    <definedName name="wrn.print." localSheetId="4" hidden="1">{"page1",#N/A,FALSE,"Investor Cash Flow";"page2",#N/A,FALSE,"Investor Cash Flow";"page3",#N/A,FALSE,"Investor Cash Flow"}</definedName>
    <definedName name="wrn.print." hidden="1">{"page1",#N/A,FALSE,"Investor Cash Flow";"page2",#N/A,FALSE,"Investor Cash Flow";"page3",#N/A,FALSE,"Investor Cash Flow"}</definedName>
    <definedName name="wrn.Print._.Model." localSheetId="4" hidden="1">{#N/A,#N/A,TRUE,"Contents";#N/A,#N/A,TRUE,"Scenarios";#N/A,#N/A,TRUE,"SensitivitiesPower";#N/A,#N/A,TRUE,"SensitivitiesGas";#N/A,#N/A,TRUE,"SensitivitiesWater";#N/A,#N/A,TRUE,"Fixed Cost allocation table";#N/A,#N/A,TRUE,"Fixed Cost SWS Forecast";#N/A,#N/A,TRUE,"Revenue per Client";#N/A,#N/A,TRUE,"Supply margin per Client";#N/A,#N/A,TRUE,"DCFCoverPower";#N/A,#N/A,TRUE,"Power Volume &amp; Price Forecast";#N/A,#N/A,TRUE,"Assumption Book";#N/A,#N/A,TRUE,"RevenuesPower";#N/A,#N/A,TRUE,"Power Pricing";#N/A,#N/A,TRUE,"CostsPower";#N/A,#N/A,TRUE,"Power Fixco Allocation&amp;Forecast";#N/A,#N/A,TRUE,"WaccCompPower";#N/A,#N/A,TRUE,"WaccPower";#N/A,#N/A,TRUE,"MatrixPower";#N/A,#N/A,TRUE,"DCFCoverGas";#N/A,#N/A,TRUE,"CostGas";#N/A,#N/A,TRUE,"RevenuesGas";#N/A,#N/A,TRUE,"Gas Fixco Allocation&amp;Forecast";#N/A,#N/A,TRUE,"Gas Volume &amp; Price Forecast";#N/A,#N/A,TRUE,"WaccGas";#N/A,#N/A,TRUE,"WaccCompGas";#N/A,#N/A,TRUE,"MatrixGas";#N/A,#N/A,TRUE,"DCFCoverWater";#N/A,#N/A,TRUE,"Water Volume &amp; Price Forecast";#N/A,#N/A,TRUE,"Water Pricing";#N/A,#N/A,TRUE,"RevenuesWater";#N/A,#N/A,TRUE,"CostWater";#N/A,#N/A,TRUE,"WaccCompWater";#N/A,#N/A,TRUE,"WaccWater";#N/A,#N/A,TRUE,"MatrixWater";#N/A,#N/A,TRUE,"DCFCoverVersorgung";#N/A,#N/A,TRUE,"DCFOverviewPower";#N/A,#N/A,TRUE,"DCFOverviewGas";#N/A,#N/A,TRUE,"DCFOverviewWater";#N/A,#N/A,TRUE,"DCFOverviewVersorgung";#N/A,#N/A,TRUE,"ValuePower";#N/A,#N/A,TRUE,"ValueGas";#N/A,#N/A,TRUE,"ValueVersorgung";#N/A,#N/A,TRUE,"ValueWater";#N/A,#N/A,TRUE,"PlanPower";#N/A,#N/A,TRUE,"PlanGas";#N/A,#N/A,TRUE,"PlanWater";#N/A,#N/A,TRUE,"PlanVersorgung";#N/A,#N/A,TRUE,"DCFPower";#N/A,#N/A,TRUE,"DCFGas";#N/A,#N/A,TRUE,"DCFWater";#N/A,#N/A,TRUE,"DCFVersorgung";#N/A,#N/A,TRUE,"MatrixVersorgung"}</definedName>
    <definedName name="wrn.Print._.Model." hidden="1">{#N/A,#N/A,TRUE,"Contents";#N/A,#N/A,TRUE,"Scenarios";#N/A,#N/A,TRUE,"SensitivitiesPower";#N/A,#N/A,TRUE,"SensitivitiesGas";#N/A,#N/A,TRUE,"SensitivitiesWater";#N/A,#N/A,TRUE,"Fixed Cost allocation table";#N/A,#N/A,TRUE,"Fixed Cost SWS Forecast";#N/A,#N/A,TRUE,"Revenue per Client";#N/A,#N/A,TRUE,"Supply margin per Client";#N/A,#N/A,TRUE,"DCFCoverPower";#N/A,#N/A,TRUE,"Power Volume &amp; Price Forecast";#N/A,#N/A,TRUE,"Assumption Book";#N/A,#N/A,TRUE,"RevenuesPower";#N/A,#N/A,TRUE,"Power Pricing";#N/A,#N/A,TRUE,"CostsPower";#N/A,#N/A,TRUE,"Power Fixco Allocation&amp;Forecast";#N/A,#N/A,TRUE,"WaccCompPower";#N/A,#N/A,TRUE,"WaccPower";#N/A,#N/A,TRUE,"MatrixPower";#N/A,#N/A,TRUE,"DCFCoverGas";#N/A,#N/A,TRUE,"CostGas";#N/A,#N/A,TRUE,"RevenuesGas";#N/A,#N/A,TRUE,"Gas Fixco Allocation&amp;Forecast";#N/A,#N/A,TRUE,"Gas Volume &amp; Price Forecast";#N/A,#N/A,TRUE,"WaccGas";#N/A,#N/A,TRUE,"WaccCompGas";#N/A,#N/A,TRUE,"MatrixGas";#N/A,#N/A,TRUE,"DCFCoverWater";#N/A,#N/A,TRUE,"Water Volume &amp; Price Forecast";#N/A,#N/A,TRUE,"Water Pricing";#N/A,#N/A,TRUE,"RevenuesWater";#N/A,#N/A,TRUE,"CostWater";#N/A,#N/A,TRUE,"WaccCompWater";#N/A,#N/A,TRUE,"WaccWater";#N/A,#N/A,TRUE,"MatrixWater";#N/A,#N/A,TRUE,"DCFCoverVersorgung";#N/A,#N/A,TRUE,"DCFOverviewPower";#N/A,#N/A,TRUE,"DCFOverviewGas";#N/A,#N/A,TRUE,"DCFOverviewWater";#N/A,#N/A,TRUE,"DCFOverviewVersorgung";#N/A,#N/A,TRUE,"ValuePower";#N/A,#N/A,TRUE,"ValueGas";#N/A,#N/A,TRUE,"ValueVersorgung";#N/A,#N/A,TRUE,"ValueWater";#N/A,#N/A,TRUE,"PlanPower";#N/A,#N/A,TRUE,"PlanGas";#N/A,#N/A,TRUE,"PlanWater";#N/A,#N/A,TRUE,"PlanVersorgung";#N/A,#N/A,TRUE,"DCFPower";#N/A,#N/A,TRUE,"DCFGas";#N/A,#N/A,TRUE,"DCFWater";#N/A,#N/A,TRUE,"DCFVersorgung";#N/A,#N/A,TRUE,"MatrixVersorgung"}</definedName>
    <definedName name="wrn.Print._.whole._.Report." localSheetId="4" hidden="1">{#N/A,#N/A,TRUE,"WaccPower";#N/A,#N/A,TRUE,"Model Assumptions";#N/A,#N/A,TRUE,"Financial Assumptions";#N/A,#N/A,TRUE,"Scenarios";#N/A,#N/A,TRUE,"SensitivitiesPower";#N/A,#N/A,TRUE,"SensitivitiesGas";#N/A,#N/A,TRUE,"Fixed Cost allocation table";#N/A,#N/A,TRUE,"SensitivitiesWater";#N/A,#N/A,TRUE,"Fixed Cost SWS Forecast";#N/A,#N/A,TRUE,"Historic balance sheet";#N/A,#N/A,TRUE,"Revenue per Client";#N/A,#N/A,TRUE,"Supply margin per Client";#N/A,#N/A,TRUE,"Multiples Calculation";#N/A,#N/A,TRUE,"Stadtwerke Comps";#N/A,#N/A,TRUE,"Electricity Comps";#N/A,#N/A,TRUE,"Gas Comps";#N/A,#N/A,TRUE,"Water Comps";#N/A,#N/A,TRUE,"DCFCoverPower";#N/A,#N/A,TRUE,"Power Volume &amp; Price Forecast";#N/A,#N/A,TRUE,"Stromabgabe 1999";#N/A,#N/A,TRUE,"RevenuesPower";#N/A,#N/A,TRUE,"Power Pricing";#N/A,#N/A,TRUE,"CostsPower";#N/A,#N/A,TRUE,"PlanPower";#N/A,#N/A,TRUE,"DCFPower";#N/A,#N/A,TRUE,"ValuePower";#N/A,#N/A,TRUE,"WaccCompPower";#N/A,#N/A,TRUE,"MatrixPower";#N/A,#N/A,TRUE,"DCFCoverGas";#N/A,#N/A,TRUE,"DCFOverviewGas";#N/A,#N/A,TRUE,"Gas Pricing";#N/A,#N/A,TRUE,"RevenuesGas";#N/A,#N/A,TRUE,"CostGas";#N/A,#N/A,TRUE,"Gas Volume &amp; Price Forecast";#N/A,#N/A,TRUE,"PlanGas";#N/A,#N/A,TRUE,"DCFGas";#N/A,#N/A,TRUE,"ValueGas";#N/A,#N/A,TRUE,"WaccGas";#N/A,#N/A,TRUE,"WaccCompGas";#N/A,#N/A,TRUE,"MatrixGas";#N/A,#N/A,TRUE,"DCFCoverWater";#N/A,#N/A,TRUE,"DCFCoverWater";#N/A,#N/A,TRUE,"Water Volume &amp; Price Forecast";#N/A,#N/A,TRUE,"Water Pricing";#N/A,#N/A,TRUE,"RevenuesWater";#N/A,#N/A,TRUE,"CostWater";#N/A,#N/A,TRUE,"PlanWater";#N/A,#N/A,TRUE,"DCFWater";#N/A,#N/A,TRUE,"ValueWater";#N/A,#N/A,TRUE,"WaccWater";#N/A,#N/A,TRUE,"WaccCompWater";#N/A,#N/A,TRUE,"MatrixWater";#N/A,#N/A,TRUE,"DCFCoverVersorgung";#N/A,#N/A,TRUE,"DCFOverviewPower";#N/A,#N/A,TRUE,"DCFOverviewWater";#N/A,#N/A,TRUE,"DCFOverviewVersorgung";#N/A,#N/A,TRUE,"PlanVersorgung";#N/A,#N/A,TRUE,"DCFVersorgung";#N/A,#N/A,TRUE,"ValueVersorgung";#N/A,#N/A,TRUE,"WaccVersorgung";#N/A,#N/A,TRUE,"WaccCompVersorgung";#N/A,#N/A,TRUE,"MatrixVersorgung"}</definedName>
    <definedName name="wrn.Print._.whole._.Report." hidden="1">{#N/A,#N/A,TRUE,"WaccPower";#N/A,#N/A,TRUE,"Model Assumptions";#N/A,#N/A,TRUE,"Financial Assumptions";#N/A,#N/A,TRUE,"Scenarios";#N/A,#N/A,TRUE,"SensitivitiesPower";#N/A,#N/A,TRUE,"SensitivitiesGas";#N/A,#N/A,TRUE,"Fixed Cost allocation table";#N/A,#N/A,TRUE,"SensitivitiesWater";#N/A,#N/A,TRUE,"Fixed Cost SWS Forecast";#N/A,#N/A,TRUE,"Historic balance sheet";#N/A,#N/A,TRUE,"Revenue per Client";#N/A,#N/A,TRUE,"Supply margin per Client";#N/A,#N/A,TRUE,"Multiples Calculation";#N/A,#N/A,TRUE,"Stadtwerke Comps";#N/A,#N/A,TRUE,"Electricity Comps";#N/A,#N/A,TRUE,"Gas Comps";#N/A,#N/A,TRUE,"Water Comps";#N/A,#N/A,TRUE,"DCFCoverPower";#N/A,#N/A,TRUE,"Power Volume &amp; Price Forecast";#N/A,#N/A,TRUE,"Stromabgabe 1999";#N/A,#N/A,TRUE,"RevenuesPower";#N/A,#N/A,TRUE,"Power Pricing";#N/A,#N/A,TRUE,"CostsPower";#N/A,#N/A,TRUE,"PlanPower";#N/A,#N/A,TRUE,"DCFPower";#N/A,#N/A,TRUE,"ValuePower";#N/A,#N/A,TRUE,"WaccCompPower";#N/A,#N/A,TRUE,"MatrixPower";#N/A,#N/A,TRUE,"DCFCoverGas";#N/A,#N/A,TRUE,"DCFOverviewGas";#N/A,#N/A,TRUE,"Gas Pricing";#N/A,#N/A,TRUE,"RevenuesGas";#N/A,#N/A,TRUE,"CostGas";#N/A,#N/A,TRUE,"Gas Volume &amp; Price Forecast";#N/A,#N/A,TRUE,"PlanGas";#N/A,#N/A,TRUE,"DCFGas";#N/A,#N/A,TRUE,"ValueGas";#N/A,#N/A,TRUE,"WaccGas";#N/A,#N/A,TRUE,"WaccCompGas";#N/A,#N/A,TRUE,"MatrixGas";#N/A,#N/A,TRUE,"DCFCoverWater";#N/A,#N/A,TRUE,"DCFCoverWater";#N/A,#N/A,TRUE,"Water Volume &amp; Price Forecast";#N/A,#N/A,TRUE,"Water Pricing";#N/A,#N/A,TRUE,"RevenuesWater";#N/A,#N/A,TRUE,"CostWater";#N/A,#N/A,TRUE,"PlanWater";#N/A,#N/A,TRUE,"DCFWater";#N/A,#N/A,TRUE,"ValueWater";#N/A,#N/A,TRUE,"WaccWater";#N/A,#N/A,TRUE,"WaccCompWater";#N/A,#N/A,TRUE,"MatrixWater";#N/A,#N/A,TRUE,"DCFCoverVersorgung";#N/A,#N/A,TRUE,"DCFOverviewPower";#N/A,#N/A,TRUE,"DCFOverviewWater";#N/A,#N/A,TRUE,"DCFOverviewVersorgung";#N/A,#N/A,TRUE,"PlanVersorgung";#N/A,#N/A,TRUE,"DCFVersorgung";#N/A,#N/A,TRUE,"ValueVersorgung";#N/A,#N/A,TRUE,"WaccVersorgung";#N/A,#N/A,TRUE,"WaccCompVersorgung";#N/A,#N/A,TRUE,"MatrixVersorgung"}</definedName>
    <definedName name="wrn.PrintAll." localSheetId="4" hidden="1">{"PA1",#N/A,FALSE,"BORDMW";"pa2",#N/A,FALSE,"BORDMW";"PA3",#N/A,FALSE,"BORDMW";"PA4",#N/A,FALSE,"BORDMW"}</definedName>
    <definedName name="wrn.PrintAll." hidden="1">{"PA1",#N/A,FALSE,"BORDMW";"pa2",#N/A,FALSE,"BORDMW";"PA3",#N/A,FALSE,"BORDMW";"PA4",#N/A,FALSE,"BORDMW"}</definedName>
    <definedName name="wrn.Printing._.the._.Model." localSheetId="4" hidden="1">{#N/A,#N/A,FALSE,"General Assumptions";#N/A,#N/A,FALSE,"Summary of Results";#N/A,#N/A,FALSE,"Waterfall - LFSRI";#N/A,#N/A,FALSE,"Sources &amp; Uses - Output";#N/A,#N/A,FALSE,"Existing Portfolio";#N/A,#N/A,FALSE,"1996 Development Schedule";#N/A,#N/A,FALSE,"New Development";#N/A,#N/A,FALSE,"New Acquisitions";#N/A,#N/A,FALSE,"Land Inventory";#N/A,#N/A,FALSE,"Balance Sheet Dec. 1996";#N/A,#N/A,FALSE,"Balance Sheet - Projected";#N/A,#N/A,FALSE,"Total Cash Flow -- Model";#N/A,#N/A,FALSE,"Total Cash Flow -- Output"}</definedName>
    <definedName name="wrn.Printing._.the._.Model." hidden="1">{#N/A,#N/A,FALSE,"General Assumptions";#N/A,#N/A,FALSE,"Summary of Results";#N/A,#N/A,FALSE,"Waterfall - LFSRI";#N/A,#N/A,FALSE,"Sources &amp; Uses - Output";#N/A,#N/A,FALSE,"Existing Portfolio";#N/A,#N/A,FALSE,"1996 Development Schedule";#N/A,#N/A,FALSE,"New Development";#N/A,#N/A,FALSE,"New Acquisitions";#N/A,#N/A,FALSE,"Land Inventory";#N/A,#N/A,FALSE,"Balance Sheet Dec. 1996";#N/A,#N/A,FALSE,"Balance Sheet - Projected";#N/A,#N/A,FALSE,"Total Cash Flow -- Model";#N/A,#N/A,FALSE,"Total Cash Flow -- Output"}</definedName>
    <definedName name="wrn.Profitability." localSheetId="4" hidden="1">{#N/A,"Good",TRUE,"Sheet1";#N/A,"Normal",TRUE,"Sheet1";#N/A,"Bad",TRUE,"Sheet1"}</definedName>
    <definedName name="wrn.Profitability." hidden="1">{#N/A,"Good",TRUE,"Sheet1";#N/A,"Normal",TRUE,"Sheet1";#N/A,"Bad",TRUE,"Sheet1"}</definedName>
    <definedName name="wrn.Proforma._.Review." localSheetId="4" hidden="1">{#N/A,#N/A,FALSE,"Occ and Rate";#N/A,#N/A,FALSE,"PF Input";#N/A,#N/A,FALSE,"Proforma Five Yr";#N/A,#N/A,FALSE,"Hotcomps"}</definedName>
    <definedName name="wrn.Proforma._.Review." hidden="1">{#N/A,#N/A,FALSE,"Occ and Rate";#N/A,#N/A,FALSE,"PF Input";#N/A,#N/A,FALSE,"Proforma Five Yr";#N/A,#N/A,FALSE,"Hotcomps"}</definedName>
    <definedName name="wrn.Program._.Compliance." localSheetId="4" hidden="1">{#N/A,#N/A,FALSE,"COMPLIANCE"}</definedName>
    <definedName name="wrn.Program._.Compliance." hidden="1">{#N/A,#N/A,FALSE,"COMPLIANCE"}</definedName>
    <definedName name="wrn.Property._.Description." localSheetId="4" hidden="1">{#N/A,#N/A,FALSE,"PROP. DESCRIPTION"}</definedName>
    <definedName name="wrn.Property._.Description." hidden="1">{#N/A,#N/A,FALSE,"PROP. DESCRIPTION"}</definedName>
    <definedName name="wrn.qtr." localSheetId="4" hidden="1">{"byqtr",#N/A,FALSE,"Worksheet"}</definedName>
    <definedName name="wrn.qtr." hidden="1">{"byqtr",#N/A,FALSE,"Worksheet"}</definedName>
    <definedName name="wrn.Report." localSheetId="4" hidden="1">{#N/A,#N/A,FALSE,"Loan Summary";#N/A,#N/A,FALSE,"NOI";"RR and Expir",#N/A,FALSE,"Rental";"Sales History",#N/A,FALSE,"Rental";#N/A,#N/A,FALSE,"Reserves"}</definedName>
    <definedName name="wrn.Report." hidden="1">{#N/A,#N/A,FALSE,"Loan Summary";#N/A,#N/A,FALSE,"NOI";"RR and Expir",#N/A,FALSE,"Rental";"Sales History",#N/A,FALSE,"Rental";#N/A,#N/A,FALSE,"Reserves"}</definedName>
    <definedName name="wrn.Report._.Tables." localSheetId="4" hidden="1">{"Penetration Analysis",#N/A,FALSE,"Comp.&amp; Market Penet.";"ADR Analysis",#N/A,FALSE,"Comp.&amp; Market Penet.";"New Supply",#N/A,FALSE,"Comp.&amp; Market Penet.";"MArket Occupancy",#N/A,FALSE,"Comp.&amp; Market Penet.";"Primarily Competition",#N/A,FALSE,"Comp.&amp; Market Penet."}</definedName>
    <definedName name="wrn.Report._.Tables." hidden="1">{"Penetration Analysis",#N/A,FALSE,"Comp.&amp; Market Penet.";"ADR Analysis",#N/A,FALSE,"Comp.&amp; Market Penet.";"New Supply",#N/A,FALSE,"Comp.&amp; Market Penet.";"MArket Occupancy",#N/A,FALSE,"Comp.&amp; Market Penet.";"Primarily Competition",#N/A,FALSE,"Comp.&amp; Market Penet."}</definedName>
    <definedName name="wrn.RRPROJECT." localSheetId="4" hidden="1">{"MT1",#N/A,FALSE,"RA_SL";"MT2",#N/A,FALSE,"RA_SL";"MT3",#N/A,FALSE,"RA_SL";"MT4",#N/A,FALSE,"RA_SL";"MT5",#N/A,FALSE,"RA_SL";"MT7",#N/A,FALSE,"RA_SL";"MT16",#N/A,FALSE,"RA_SL";"MT17",#N/A,FALSE,"RA_SL";"MT18",#N/A,FALSE,"RA_SL";"MT19",#N/A,FALSE,"RA_SL";"MT20",#N/A,FALSE,"RA_SL";"MT21",#N/A,FALSE,"RA_SL";"MT22",#N/A,FALSE,"RA_SL";"MT23",#N/A,FALSE,"RA_SL";"MT24",#N/A,FALSE,"RA_SL";"MT25",#N/A,FALSE,"RA_SL";"MT26",#N/A,FALSE,"RA_SL";"MT27",#N/A,FALSE,"RA_SL";"MT28",#N/A,FALSE,"RA_SL";"MT29",#N/A,FALSE,"RA_SL"}</definedName>
    <definedName name="wrn.RRPROJECT." hidden="1">{"MT1",#N/A,FALSE,"RA_SL";"MT2",#N/A,FALSE,"RA_SL";"MT3",#N/A,FALSE,"RA_SL";"MT4",#N/A,FALSE,"RA_SL";"MT5",#N/A,FALSE,"RA_SL";"MT7",#N/A,FALSE,"RA_SL";"MT16",#N/A,FALSE,"RA_SL";"MT17",#N/A,FALSE,"RA_SL";"MT18",#N/A,FALSE,"RA_SL";"MT19",#N/A,FALSE,"RA_SL";"MT20",#N/A,FALSE,"RA_SL";"MT21",#N/A,FALSE,"RA_SL";"MT22",#N/A,FALSE,"RA_SL";"MT23",#N/A,FALSE,"RA_SL";"MT24",#N/A,FALSE,"RA_SL";"MT25",#N/A,FALSE,"RA_SL";"MT26",#N/A,FALSE,"RA_SL";"MT27",#N/A,FALSE,"RA_SL";"MT28",#N/A,FALSE,"RA_SL";"MT29",#N/A,FALSE,"RA_SL"}</definedName>
    <definedName name="wrn.RRSUMMARY." localSheetId="4" hidden="1">{"RRSUMMARY",#N/A,FALSE,"RA_SL"}</definedName>
    <definedName name="wrn.RRSUMMARY." hidden="1">{"RRSUMMARY",#N/A,FALSE,"RA_SL"}</definedName>
    <definedName name="wrn.Saiwadi." localSheetId="4" hidden="1">{#N/A,#N/A,FALSE,"Sheet1";#N/A,#N/A,FALSE,"cost";#N/A,#N/A,FALSE,"prog";#N/A,#N/A,FALSE,"Nova-Area";#N/A,#N/A,FALSE,"BM-NOVA";#N/A,#N/A,FALSE,"Metropolis";#N/A,#N/A,FALSE,"BM-Metropolis";#N/A,#N/A,FALSE,"monthcf";#N/A,#N/A,FALSE,"Repayment Schedule"}</definedName>
    <definedName name="wrn.Saiwadi." hidden="1">{#N/A,#N/A,FALSE,"Sheet1";#N/A,#N/A,FALSE,"cost";#N/A,#N/A,FALSE,"prog";#N/A,#N/A,FALSE,"Nova-Area";#N/A,#N/A,FALSE,"BM-NOVA";#N/A,#N/A,FALSE,"Metropolis";#N/A,#N/A,FALSE,"BM-Metropolis";#N/A,#N/A,FALSE,"monthcf";#N/A,#N/A,FALSE,"Repayment Schedule"}</definedName>
    <definedName name="wrn.sales." localSheetId="4" hidden="1">{"sales",#N/A,FALSE,"Sales";"sales existing",#N/A,FALSE,"Sales";"sales rd1",#N/A,FALSE,"Sales";"sales rd2",#N/A,FALSE,"Sales"}</definedName>
    <definedName name="wrn.sales." hidden="1">{"sales",#N/A,FALSE,"Sales";"sales existing",#N/A,FALSE,"Sales";"sales rd1",#N/A,FALSE,"Sales";"sales rd2",#N/A,FALSE,"Sales"}</definedName>
    <definedName name="wrn.Secondary._.Competition." localSheetId="4" hidden="1">{#N/A,#N/A,FALSE,"Secondary"}</definedName>
    <definedName name="wrn.Secondary._.Competition." hidden="1">{#N/A,#N/A,FALSE,"Secondary"}</definedName>
    <definedName name="wrn.SHORT." localSheetId="4" hidden="1">{"CREDIT STATISTICS",#N/A,FALSE,"STATS";"CF_AND_IS",#N/A,FALSE,"PLAN";"BALSHEET",#N/A,FALSE,"BALANCE SHEET"}</definedName>
    <definedName name="wrn.SHORT." hidden="1">{"CREDIT STATISTICS",#N/A,FALSE,"STATS";"CF_AND_IS",#N/A,FALSE,"PLAN";"BALSHEET",#N/A,FALSE,"BALANCE SHEET"}</definedName>
    <definedName name="wrn.stages." localSheetId="4" hidden="1">{#N/A,#N/A,FALSE,"rev-stg format";#N/A,#N/A,FALSE,"conf-uncnf";#N/A,#N/A,FALSE,"stg-plot";#N/A,#N/A,FALSE,"stg-days"}</definedName>
    <definedName name="wrn.stages." hidden="1">{#N/A,#N/A,FALSE,"rev-stg format";#N/A,#N/A,FALSE,"conf-uncnf";#N/A,#N/A,FALSE,"stg-plot";#N/A,#N/A,FALSE,"stg-days"}</definedName>
    <definedName name="wrn.sum._.ops." localSheetId="4" hidden="1">{"schedule",#N/A,FALSE,"Sum Op's";"input area",#N/A,FALSE,"Sum Op's"}</definedName>
    <definedName name="wrn.sum._.ops." hidden="1">{"schedule",#N/A,FALSE,"Sum Op's";"input area",#N/A,FALSE,"Sum Op's"}</definedName>
    <definedName name="wrn.SUMMARY." localSheetId="4" hidden="1">{"SUMMARY",#N/A,TRUE,"RIGGIN INCR";"SUMMARY",#N/A,TRUE,"DEAN";"SUMMARY",#N/A,TRUE,"GAWRYS";"SUMMARY",#N/A,TRUE,"RUSSO GBVS";"SUMMARY",#N/A,TRUE,"RUSSO WW";"SUMMARY",#N/A,TRUE,"RUSSO TOTAL ";"SUMMARY",#N/A,TRUE,"BOUCHARD";"SUMMARY",#N/A,TRUE,"ZECCA";"SUMMARY",#N/A,TRUE,"RIGGIN TOTAL";"SUMMARY",#N/A,TRUE,"REGLI INCR";"SUMMARY",#N/A,TRUE,"SUSKI";"SUMMARY",#N/A,TRUE,"JOHNSON";"SUMMARY",#N/A,TRUE,"CONN";"SUMMARY",#N/A,TRUE,"REGLI TOTAL";"SUMMARY",#N/A,TRUE,"BROWN";"SUMMARY",#N/A,TRUE,"DENIGRIS INC";"SUMMARY",#N/A,TRUE,"DeNIGRIS TOTAL";"IS",#N/A,TRUE,"INC ST"}</definedName>
    <definedName name="wrn.SUMMARY." hidden="1">{"SUMMARY",#N/A,TRUE,"RIGGIN INCR";"SUMMARY",#N/A,TRUE,"DEAN";"SUMMARY",#N/A,TRUE,"GAWRYS";"SUMMARY",#N/A,TRUE,"RUSSO GBVS";"SUMMARY",#N/A,TRUE,"RUSSO WW";"SUMMARY",#N/A,TRUE,"RUSSO TOTAL ";"SUMMARY",#N/A,TRUE,"BOUCHARD";"SUMMARY",#N/A,TRUE,"ZECCA";"SUMMARY",#N/A,TRUE,"RIGGIN TOTAL";"SUMMARY",#N/A,TRUE,"REGLI INCR";"SUMMARY",#N/A,TRUE,"SUSKI";"SUMMARY",#N/A,TRUE,"JOHNSON";"SUMMARY",#N/A,TRUE,"CONN";"SUMMARY",#N/A,TRUE,"REGLI TOTAL";"SUMMARY",#N/A,TRUE,"BROWN";"SUMMARY",#N/A,TRUE,"DENIGRIS INC";"SUMMARY",#N/A,TRUE,"DeNIGRIS TOTAL";"IS",#N/A,TRUE,"INC ST"}</definedName>
    <definedName name="wrn.Summary._.Overview." localSheetId="4" hidden="1">{#N/A,#N/A,FALSE,"OVERVIEW"}</definedName>
    <definedName name="wrn.Summary._.Overview." hidden="1">{#N/A,#N/A,FALSE,"OVERVIEW"}</definedName>
    <definedName name="wrn.SUN1." localSheetId="4" hidden="1">{#N/A,#N/A,FALSE,"Assumptions";#N/A,#N/A,FALSE,"office";#N/A,#N/A,FALSE,"monthly"}</definedName>
    <definedName name="wrn.SUN1." hidden="1">{#N/A,#N/A,FALSE,"Assumptions";#N/A,#N/A,FALSE,"office";#N/A,#N/A,FALSE,"monthly"}</definedName>
    <definedName name="wrn.SunSteel." localSheetId="4" hidden="1">{#N/A,#N/A,FALSE,"BANKLIMITS";#N/A,#N/A,FALSE,"OPSTATE";#N/A,#N/A,FALSE,"BEP sales";#N/A,#N/A,FALSE,"Capacity-rolling";#N/A,#N/A,FALSE,"Capacity ingot";#N/A,#N/A,FALSE,"DSCR-TL";#N/A,#N/A,FALSE,"DSCR GROSS";#N/A,#N/A,FALSE,"BSLIABILITY";#N/A,#N/A,FALSE,"BSASSETS";#N/A,#N/A,FALSE,"CABUILDUP";#N/A,#N/A,FALSE,"WCASSESS";#N/A,#N/A,FALSE,"FUNDFLOW";#N/A,#N/A,FALSE,"RATIOS";#N/A,#N/A,FALSE,"Term loan";#N/A,#N/A,FALSE,"Depreciation"}</definedName>
    <definedName name="wrn.SunSteel." hidden="1">{#N/A,#N/A,FALSE,"BANKLIMITS";#N/A,#N/A,FALSE,"OPSTATE";#N/A,#N/A,FALSE,"BEP sales";#N/A,#N/A,FALSE,"Capacity-rolling";#N/A,#N/A,FALSE,"Capacity ingot";#N/A,#N/A,FALSE,"DSCR-TL";#N/A,#N/A,FALSE,"DSCR GROSS";#N/A,#N/A,FALSE,"BSLIABILITY";#N/A,#N/A,FALSE,"BSASSETS";#N/A,#N/A,FALSE,"CABUILDUP";#N/A,#N/A,FALSE,"WCASSESS";#N/A,#N/A,FALSE,"FUNDFLOW";#N/A,#N/A,FALSE,"RATIOS";#N/A,#N/A,FALSE,"Term loan";#N/A,#N/A,FALSE,"Depreciation"}</definedName>
    <definedName name="wrn.Supply._.Additions." localSheetId="4" hidden="1">{#N/A,#N/A,FALSE,"Supply Addn"}</definedName>
    <definedName name="wrn.Supply._.Additions." hidden="1">{#N/A,#N/A,FALSE,"Supply Addn"}</definedName>
    <definedName name="wrn.Supporting._.Schedules." localSheetId="4" hidden="1">{#N/A,#N/A,TRUE,"ACC RENT";#N/A,#N/A,TRUE,"ACCT REC";#N/A,#N/A,TRUE,"RET EARN";#N/A,#N/A,TRUE,"PPE";#N/A,#N/A,TRUE,"TAXES PAY";#N/A,#N/A,TRUE,"WORK CAP";#N/A,#N/A,TRUE,"CASH FLOW";#N/A,#N/A,TRUE,"SERIES A LOAN"}</definedName>
    <definedName name="wrn.Supporting._.Schedules." hidden="1">{#N/A,#N/A,TRUE,"ACC RENT";#N/A,#N/A,TRUE,"ACCT REC";#N/A,#N/A,TRUE,"RET EARN";#N/A,#N/A,TRUE,"PPE";#N/A,#N/A,TRUE,"TAXES PAY";#N/A,#N/A,TRUE,"WORK CAP";#N/A,#N/A,TRUE,"CASH FLOW";#N/A,#N/A,TRUE,"SERIES A LOAN"}</definedName>
    <definedName name="wrn.SWATINORMAL." localSheetId="4" hidden="1">{#N/A,#N/A,FALSE,"BANKLIMITS";#N/A,#N/A,FALSE,"OPSTATE";#N/A,#N/A,FALSE,"BSLIABILITY";#N/A,#N/A,FALSE,"BSASSETS";#N/A,#N/A,FALSE,"CABUILDUP";#N/A,#N/A,FALSE,"WCASSESS";#N/A,#N/A,FALSE,"FUNDFLOW";#N/A,#N/A,FALSE,"DSCR";#N/A,#N/A,FALSE,"RATIOS";#N/A,#N/A,FALSE,"Dep"}</definedName>
    <definedName name="wrn.SWATINORMAL." hidden="1">{#N/A,#N/A,FALSE,"BANKLIMITS";#N/A,#N/A,FALSE,"OPSTATE";#N/A,#N/A,FALSE,"BSLIABILITY";#N/A,#N/A,FALSE,"BSASSETS";#N/A,#N/A,FALSE,"CABUILDUP";#N/A,#N/A,FALSE,"WCASSESS";#N/A,#N/A,FALSE,"FUNDFLOW";#N/A,#N/A,FALSE,"DSCR";#N/A,#N/A,FALSE,"RATIOS";#N/A,#N/A,FALSE,"Dep"}</definedName>
    <definedName name="wrn.TANASBOURNE._.ONLY." localSheetId="4" hidden="1">{#N/A,#N/A,FALSE,"Expense Comparison"}</definedName>
    <definedName name="wrn.TANASBOURNE._.ONLY." hidden="1">{#N/A,#N/A,FALSE,"Expense Comparison"}</definedName>
    <definedName name="wrn.Tenants." localSheetId="4" hidden="1">{#N/A,#N/A,FALSE,"TENANTS"}</definedName>
    <definedName name="wrn.Tenants." hidden="1">{#N/A,#N/A,FALSE,"TENANTS"}</definedName>
    <definedName name="wrn.test." localSheetId="4" hidden="1">{"ADR Analysis",#N/A,FALSE,"Comp.&amp; Market Penet.";"Penetration Analysis",#N/A,FALSE,"Comp.&amp; Market Penet."}</definedName>
    <definedName name="wrn.test." hidden="1">{"ADR Analysis",#N/A,FALSE,"Comp.&amp; Market Penet.";"Penetration Analysis",#N/A,FALSE,"Comp.&amp; Market Penet."}</definedName>
    <definedName name="wrn.Total." localSheetId="4" hidden="1">{#N/A,#N/A,FALSE,"Exec Sum";#N/A,#N/A,FALSE,"Rent Rate Comp";#N/A,#N/A,FALSE,"Rate, NPV Comp";#N/A,#N/A,FALSE,"Opt A NNN";#N/A,#N/A,FALSE,"15-yr Opt. A Sum";#N/A,#N/A,FALSE,"15-yr Opt A Other Costs";#N/A,#N/A,FALSE,"10-yr Opt. A Sum";#N/A,#N/A,FALSE,"10-yr Opt A Other Costs";#N/A,#N/A,FALSE,"NPV Calc"}</definedName>
    <definedName name="wrn.Total." hidden="1">{#N/A,#N/A,FALSE,"Exec Sum";#N/A,#N/A,FALSE,"Rent Rate Comp";#N/A,#N/A,FALSE,"Rate, NPV Comp";#N/A,#N/A,FALSE,"Opt A NNN";#N/A,#N/A,FALSE,"15-yr Opt. A Sum";#N/A,#N/A,FALSE,"15-yr Opt A Other Costs";#N/A,#N/A,FALSE,"10-yr Opt. A Sum";#N/A,#N/A,FALSE,"10-yr Opt A Other Costs";#N/A,#N/A,FALSE,"NPV Calc"}</definedName>
    <definedName name="wrn.Total._.Print." localSheetId="4" hidden="1">{#N/A,#N/A,TRUE,"Cover Sheet";#N/A,#N/A,TRUE,"Contents";#N/A,#N/A,TRUE,"Model Assumptions";#N/A,#N/A,TRUE,"Financial Assumptions";#N/A,#N/A,TRUE,"Scenarios";#N/A,#N/A,TRUE,"SensitivitiesPower";#N/A,#N/A,TRUE,"SensitivitiesGas";#N/A,#N/A,TRUE,"SensitivitiesWater";#N/A,#N/A,TRUE,"Fixed Cost allocation table";#N/A,#N/A,TRUE,"Historic balance sheet";#N/A,#N/A,TRUE,"Stadtwerke Comps";#N/A,#N/A,TRUE,"Electricity Comps";#N/A,#N/A,TRUE,"Gas Comps";#N/A,#N/A,TRUE,"Water Comps";#N/A,#N/A,TRUE,"DCFCoverPower";#N/A,#N/A,TRUE,"DCFOverviewPower";#N/A,#N/A,TRUE,"RevenuesPower";#N/A,#N/A,TRUE,"CostsPower";#N/A,#N/A,TRUE,"PlanPower";#N/A,#N/A,TRUE,"DCFPower";#N/A,#N/A,TRUE,"ValuePower";#N/A,#N/A,TRUE,"WaccPower";#N/A,#N/A,TRUE,"WaccCompPower";#N/A,#N/A,TRUE,"MatrixPower";#N/A,#N/A,TRUE,"DCFCoverGas";#N/A,#N/A,TRUE,"DCFOverviewGas";#N/A,#N/A,TRUE,"RevenuesGas";#N/A,#N/A,TRUE,"CostGas";#N/A,#N/A,TRUE,"PlanGas";#N/A,#N/A,TRUE,"DCFGas";#N/A,#N/A,TRUE,"ValueGas";#N/A,#N/A,TRUE,"WaccGas";#N/A,#N/A,TRUE,"WaccCompGas";#N/A,#N/A,TRUE,"MatrixGas";#N/A,#N/A,TRUE,"DCFCoverWater";#N/A,#N/A,TRUE,"DCFOverviewWater";#N/A,#N/A,TRUE,"RevenuesWater";#N/A,#N/A,TRUE,"CostWater";#N/A,#N/A,TRUE,"PlanWater";#N/A,#N/A,TRUE,"DCFWater";#N/A,#N/A,TRUE,"ValueWater";#N/A,#N/A,TRUE,"WaccWater";#N/A,#N/A,TRUE,"WaccWater";#N/A,#N/A,TRUE,"WaccCompWater";#N/A,#N/A,TRUE,"MatrixWater";#N/A,#N/A,TRUE,"DCFCoverVersorgung";#N/A,#N/A,TRUE,"DCFOverviewVersorgung";#N/A,#N/A,TRUE,"PlanVersorgung";#N/A,#N/A,TRUE,"DCFVersorgung";#N/A,#N/A,TRUE,"ValueVersorgung";#N/A,#N/A,TRUE,"WaccVersorgung";#N/A,#N/A,TRUE,"WaccCompVersorgung";#N/A,#N/A,TRUE,"MatrixVersorgung"}</definedName>
    <definedName name="wrn.Total._.Print." hidden="1">{#N/A,#N/A,TRUE,"Cover Sheet";#N/A,#N/A,TRUE,"Contents";#N/A,#N/A,TRUE,"Model Assumptions";#N/A,#N/A,TRUE,"Financial Assumptions";#N/A,#N/A,TRUE,"Scenarios";#N/A,#N/A,TRUE,"SensitivitiesPower";#N/A,#N/A,TRUE,"SensitivitiesGas";#N/A,#N/A,TRUE,"SensitivitiesWater";#N/A,#N/A,TRUE,"Fixed Cost allocation table";#N/A,#N/A,TRUE,"Historic balance sheet";#N/A,#N/A,TRUE,"Stadtwerke Comps";#N/A,#N/A,TRUE,"Electricity Comps";#N/A,#N/A,TRUE,"Gas Comps";#N/A,#N/A,TRUE,"Water Comps";#N/A,#N/A,TRUE,"DCFCoverPower";#N/A,#N/A,TRUE,"DCFOverviewPower";#N/A,#N/A,TRUE,"RevenuesPower";#N/A,#N/A,TRUE,"CostsPower";#N/A,#N/A,TRUE,"PlanPower";#N/A,#N/A,TRUE,"DCFPower";#N/A,#N/A,TRUE,"ValuePower";#N/A,#N/A,TRUE,"WaccPower";#N/A,#N/A,TRUE,"WaccCompPower";#N/A,#N/A,TRUE,"MatrixPower";#N/A,#N/A,TRUE,"DCFCoverGas";#N/A,#N/A,TRUE,"DCFOverviewGas";#N/A,#N/A,TRUE,"RevenuesGas";#N/A,#N/A,TRUE,"CostGas";#N/A,#N/A,TRUE,"PlanGas";#N/A,#N/A,TRUE,"DCFGas";#N/A,#N/A,TRUE,"ValueGas";#N/A,#N/A,TRUE,"WaccGas";#N/A,#N/A,TRUE,"WaccCompGas";#N/A,#N/A,TRUE,"MatrixGas";#N/A,#N/A,TRUE,"DCFCoverWater";#N/A,#N/A,TRUE,"DCFOverviewWater";#N/A,#N/A,TRUE,"RevenuesWater";#N/A,#N/A,TRUE,"CostWater";#N/A,#N/A,TRUE,"PlanWater";#N/A,#N/A,TRUE,"DCFWater";#N/A,#N/A,TRUE,"ValueWater";#N/A,#N/A,TRUE,"WaccWater";#N/A,#N/A,TRUE,"WaccWater";#N/A,#N/A,TRUE,"WaccCompWater";#N/A,#N/A,TRUE,"MatrixWater";#N/A,#N/A,TRUE,"DCFCoverVersorgung";#N/A,#N/A,TRUE,"DCFOverviewVersorgung";#N/A,#N/A,TRUE,"PlanVersorgung";#N/A,#N/A,TRUE,"DCFVersorgung";#N/A,#N/A,TRUE,"ValueVersorgung";#N/A,#N/A,TRUE,"WaccVersorgung";#N/A,#N/A,TRUE,"WaccCompVersorgung";#N/A,#N/A,TRUE,"MatrixVersorgung"}</definedName>
    <definedName name="wrn.TOTAL._.SHEETS." localSheetId="4" hidden="1">{#N/A,#N/A,FALSE,"DEV COSTS";#N/A,#N/A,FALSE,"10-YR C. F."}</definedName>
    <definedName name="wrn.TOTAL._.SHEETS." hidden="1">{#N/A,#N/A,FALSE,"DEV COSTS";#N/A,#N/A,FALSE,"10-YR C. F."}</definedName>
    <definedName name="wrn.trial." localSheetId="4" hidden="1">{#N/A,#N/A,FALSE,"mpph1";#N/A,#N/A,FALSE,"mpmseb";#N/A,#N/A,FALSE,"mpph2"}</definedName>
    <definedName name="wrn.trial." hidden="1">{#N/A,#N/A,FALSE,"mpph1";#N/A,#N/A,FALSE,"mpmseb";#N/A,#N/A,FALSE,"mpph2"}</definedName>
    <definedName name="wrn.Valuation._.Summaries." localSheetId="4" hidden="1">{#N/A,#N/A,FALSE,"Cover Sheet";#N/A,#N/A,FALSE,"Financial Assumptions";#N/A,#N/A,FALSE,"DCFOverviewPower";#N/A,#N/A,FALSE,"DCFOverviewGas";#N/A,#N/A,FALSE,"DCFOverviewWater";#N/A,#N/A,FALSE,"DCFOverviewVersorgung"}</definedName>
    <definedName name="wrn.Valuation._.Summaries." hidden="1">{#N/A,#N/A,FALSE,"Cover Sheet";#N/A,#N/A,FALSE,"Financial Assumptions";#N/A,#N/A,FALSE,"DCFOverviewPower";#N/A,#N/A,FALSE,"DCFOverviewGas";#N/A,#N/A,FALSE,"DCFOverviewWater";#N/A,#N/A,FALSE,"DCFOverviewVersorgung"}</definedName>
    <definedName name="wrn.Versorgungs._.GmbH._.Data." localSheetId="4" hidden="1">{#N/A,#N/A,FALSE,"DCFCoverVersorgung";#N/A,#N/A,FALSE,"DCFOverviewVersorgung";#N/A,#N/A,FALSE,"PlanVersorgung";#N/A,#N/A,FALSE,"DCFVersorgung";#N/A,#N/A,FALSE,"ValueVersorgung";#N/A,#N/A,FALSE,"WaccVersorgung";#N/A,#N/A,FALSE,"WaccVersorgung";#N/A,#N/A,FALSE,"WaccCompVersorgung";#N/A,#N/A,FALSE,"MatrixVersorgung"}</definedName>
    <definedName name="wrn.Versorgungs._.GmbH._.Data." hidden="1">{#N/A,#N/A,FALSE,"DCFCoverVersorgung";#N/A,#N/A,FALSE,"DCFOverviewVersorgung";#N/A,#N/A,FALSE,"PlanVersorgung";#N/A,#N/A,FALSE,"DCFVersorgung";#N/A,#N/A,FALSE,"ValueVersorgung";#N/A,#N/A,FALSE,"WaccVersorgung";#N/A,#N/A,FALSE,"WaccVersorgung";#N/A,#N/A,FALSE,"WaccCompVersorgung";#N/A,#N/A,FALSE,"MatrixVersorgung"}</definedName>
    <definedName name="wrn.Vs.._.Bud._.Month." localSheetId="4" hidden="1">{#N/A,#N/A,FALSE,"Graph-B";"Month SumOps",#N/A,FALSE,"SumOps";"Month SumExp",#N/A,FALSE,"SumExp";"Month ExpDept",#N/A,FALSE,"ExpDept"}</definedName>
    <definedName name="wrn.Vs.._.Bud._.Month." hidden="1">{#N/A,#N/A,FALSE,"Graph-B";"Month SumOps",#N/A,FALSE,"SumOps";"Month SumExp",#N/A,FALSE,"SumExp";"Month ExpDept",#N/A,FALSE,"ExpDept"}</definedName>
    <definedName name="wrn.Vs.._.BudFcst._.Month." localSheetId="4" hidden="1">{"May SumExp",#N/A,FALSE,"SumExp";#N/A,#N/A,FALSE,"Graph-F";"May SumOps",#N/A,FALSE,"SumOps";"May ExpDept",#N/A,FALSE,"ExpDept"}</definedName>
    <definedName name="wrn.Vs.._.BudFcst._.Month." hidden="1">{"May SumExp",#N/A,FALSE,"SumExp";#N/A,#N/A,FALSE,"Graph-F";"May SumOps",#N/A,FALSE,"SumOps";"May ExpDept",#N/A,FALSE,"ExpDept"}</definedName>
    <definedName name="wrn.Working._.Party._.List." localSheetId="4" hidden="1">{#N/A,#N/A,FALSE,"Working List"}</definedName>
    <definedName name="wrn.Working._.Party._.List." hidden="1">{#N/A,#N/A,FALSE,"Working List"}</definedName>
    <definedName name="wrn.Yuma." localSheetId="4" hidden="1">{#N/A,#N/A,FALSE,"Project Summary";#N/A,#N/A,FALSE,"Detail Estimate";#N/A,#N/A,FALSE,"Cashflow Schedule";#N/A,#N/A,FALSE,"Pro Forma"}</definedName>
    <definedName name="wrn.Yuma." hidden="1">{#N/A,#N/A,FALSE,"Project Summary";#N/A,#N/A,FALSE,"Detail Estimate";#N/A,#N/A,FALSE,"Cashflow Schedule";#N/A,#N/A,FALSE,"Pro Forma"}</definedName>
    <definedName name="xyz" localSheetId="4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xyz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yy" localSheetId="4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yy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22" i="4" l="1"/>
  <c r="G22" i="4"/>
  <c r="M218" i="47"/>
  <c r="L218" i="47"/>
  <c r="K218" i="47"/>
  <c r="H218" i="50"/>
  <c r="G218" i="50"/>
  <c r="F218" i="50"/>
  <c r="O310" i="46"/>
  <c r="O207" i="46" l="1"/>
  <c r="L104" i="46"/>
  <c r="O456" i="46"/>
  <c r="O332" i="46"/>
  <c r="O231" i="46"/>
  <c r="O216" i="46"/>
  <c r="O137" i="46" l="1"/>
  <c r="O135" i="46"/>
  <c r="D22" i="4"/>
  <c r="D21" i="4"/>
  <c r="D20" i="4"/>
  <c r="D19" i="4"/>
  <c r="D18" i="4"/>
  <c r="D17" i="4"/>
  <c r="D16" i="4"/>
  <c r="AI17" i="49"/>
  <c r="E18" i="4" s="1"/>
  <c r="G18" i="4" s="1"/>
  <c r="AJ17" i="49"/>
  <c r="AH17" i="49"/>
  <c r="AN3" i="49"/>
  <c r="AN4" i="49"/>
  <c r="AN5" i="49"/>
  <c r="AN6" i="49"/>
  <c r="AN7" i="49"/>
  <c r="AN8" i="49"/>
  <c r="AN9" i="49"/>
  <c r="AN10" i="49"/>
  <c r="AN11" i="49"/>
  <c r="AN12" i="49"/>
  <c r="AN13" i="49"/>
  <c r="AN14" i="49"/>
  <c r="AN15" i="49"/>
  <c r="AN16" i="49"/>
  <c r="AN2" i="49"/>
  <c r="U6" i="49"/>
  <c r="E20" i="4" s="1"/>
  <c r="G20" i="4" s="1"/>
  <c r="V6" i="49"/>
  <c r="T6" i="49"/>
  <c r="Z3" i="49"/>
  <c r="Z4" i="49"/>
  <c r="Z5" i="49"/>
  <c r="Z2" i="49"/>
  <c r="G30" i="49"/>
  <c r="E16" i="4" s="1"/>
  <c r="G16" i="4" s="1"/>
  <c r="H30" i="49"/>
  <c r="F30" i="49"/>
  <c r="L3" i="49"/>
  <c r="L4" i="49"/>
  <c r="L5" i="49"/>
  <c r="L6" i="49"/>
  <c r="L7" i="49"/>
  <c r="L8" i="49"/>
  <c r="L9" i="49"/>
  <c r="L10" i="49"/>
  <c r="L11" i="49"/>
  <c r="L12" i="49"/>
  <c r="L13" i="49"/>
  <c r="L14" i="49"/>
  <c r="L15" i="49"/>
  <c r="L16" i="49"/>
  <c r="L17" i="49"/>
  <c r="L18" i="49"/>
  <c r="L19" i="49"/>
  <c r="L20" i="49"/>
  <c r="L21" i="49"/>
  <c r="L22" i="49"/>
  <c r="L23" i="49"/>
  <c r="L24" i="49"/>
  <c r="L25" i="49"/>
  <c r="L26" i="49"/>
  <c r="L27" i="49"/>
  <c r="L28" i="49"/>
  <c r="L29" i="49"/>
  <c r="L2" i="49"/>
  <c r="AN17" i="49" l="1"/>
  <c r="Z6" i="49"/>
  <c r="L30" i="49"/>
  <c r="G129" i="48"/>
  <c r="G132" i="48" s="1"/>
  <c r="E17" i="4" s="1"/>
  <c r="F132" i="48"/>
  <c r="AC4" i="48"/>
  <c r="AC5" i="48"/>
  <c r="AC6" i="48"/>
  <c r="AC7" i="48"/>
  <c r="AC8" i="48"/>
  <c r="AC9" i="48"/>
  <c r="AC10" i="48"/>
  <c r="AC11" i="48"/>
  <c r="AC12" i="48"/>
  <c r="AC13" i="48"/>
  <c r="AC14" i="48"/>
  <c r="AC15" i="48"/>
  <c r="AC16" i="48"/>
  <c r="AC17" i="48"/>
  <c r="AC18" i="48"/>
  <c r="AC19" i="48"/>
  <c r="AC20" i="48"/>
  <c r="AC21" i="48"/>
  <c r="AC22" i="48"/>
  <c r="AC23" i="48"/>
  <c r="AC24" i="48"/>
  <c r="AC25" i="48"/>
  <c r="AC26" i="48"/>
  <c r="AC27" i="48"/>
  <c r="AC28" i="48"/>
  <c r="AC29" i="48"/>
  <c r="AC30" i="48"/>
  <c r="AC31" i="48"/>
  <c r="AC32" i="48"/>
  <c r="AC33" i="48"/>
  <c r="AC34" i="48"/>
  <c r="AC35" i="48"/>
  <c r="AC36" i="48"/>
  <c r="AC37" i="48"/>
  <c r="AC38" i="48"/>
  <c r="AC39" i="48"/>
  <c r="AC40" i="48"/>
  <c r="AC41" i="48"/>
  <c r="AC3" i="48"/>
  <c r="AK27" i="48"/>
  <c r="E19" i="4" s="1"/>
  <c r="AL27" i="48"/>
  <c r="AO27" i="48"/>
  <c r="G19" i="4" s="1"/>
  <c r="AP27" i="48"/>
  <c r="H19" i="4" s="1"/>
  <c r="AQ27" i="48"/>
  <c r="AJ27" i="48"/>
  <c r="AB42" i="48"/>
  <c r="AA42" i="48"/>
  <c r="H21" i="4" s="1"/>
  <c r="Z42" i="48"/>
  <c r="G21" i="4" s="1"/>
  <c r="W42" i="48"/>
  <c r="V42" i="48"/>
  <c r="E21" i="4" s="1"/>
  <c r="U42" i="48"/>
  <c r="K132" i="48"/>
  <c r="G17" i="4" s="1"/>
  <c r="L132" i="48"/>
  <c r="H17" i="4" s="1"/>
  <c r="M132" i="48"/>
  <c r="G218" i="47"/>
  <c r="E22" i="4" s="1"/>
  <c r="H218" i="47"/>
  <c r="F218" i="47"/>
  <c r="I485" i="46"/>
  <c r="P484" i="46"/>
  <c r="O484" i="46"/>
  <c r="I484" i="46"/>
  <c r="Q483" i="46"/>
  <c r="K483" i="46"/>
  <c r="R483" i="46" s="1"/>
  <c r="I483" i="46"/>
  <c r="Q482" i="46"/>
  <c r="K482" i="46"/>
  <c r="R482" i="46" s="1"/>
  <c r="I482" i="46"/>
  <c r="Q481" i="46"/>
  <c r="K481" i="46"/>
  <c r="R481" i="46" s="1"/>
  <c r="I481" i="46"/>
  <c r="Q480" i="46"/>
  <c r="K480" i="46"/>
  <c r="R480" i="46" s="1"/>
  <c r="I480" i="46"/>
  <c r="Q479" i="46"/>
  <c r="K479" i="46"/>
  <c r="R479" i="46" s="1"/>
  <c r="I479" i="46"/>
  <c r="Q478" i="46"/>
  <c r="K478" i="46"/>
  <c r="R478" i="46" s="1"/>
  <c r="I478" i="46"/>
  <c r="Q477" i="46"/>
  <c r="K477" i="46"/>
  <c r="R477" i="46" s="1"/>
  <c r="I477" i="46"/>
  <c r="Q476" i="46"/>
  <c r="K476" i="46"/>
  <c r="R476" i="46" s="1"/>
  <c r="I476" i="46"/>
  <c r="Q475" i="46"/>
  <c r="K475" i="46"/>
  <c r="R475" i="46" s="1"/>
  <c r="I475" i="46"/>
  <c r="Q474" i="46"/>
  <c r="K474" i="46"/>
  <c r="R474" i="46" s="1"/>
  <c r="I474" i="46"/>
  <c r="Q473" i="46"/>
  <c r="K473" i="46"/>
  <c r="R473" i="46" s="1"/>
  <c r="I473" i="46"/>
  <c r="Q472" i="46"/>
  <c r="K472" i="46"/>
  <c r="R472" i="46" s="1"/>
  <c r="I472" i="46"/>
  <c r="Q471" i="46"/>
  <c r="K471" i="46"/>
  <c r="R471" i="46" s="1"/>
  <c r="I471" i="46"/>
  <c r="Q470" i="46"/>
  <c r="K470" i="46"/>
  <c r="R470" i="46" s="1"/>
  <c r="I470" i="46"/>
  <c r="Q469" i="46"/>
  <c r="K469" i="46"/>
  <c r="R469" i="46" s="1"/>
  <c r="I469" i="46"/>
  <c r="Q468" i="46"/>
  <c r="K468" i="46"/>
  <c r="R468" i="46" s="1"/>
  <c r="I468" i="46"/>
  <c r="Q467" i="46"/>
  <c r="K467" i="46"/>
  <c r="R467" i="46" s="1"/>
  <c r="I467" i="46"/>
  <c r="Q466" i="46"/>
  <c r="K466" i="46"/>
  <c r="R466" i="46" s="1"/>
  <c r="I466" i="46"/>
  <c r="Q465" i="46"/>
  <c r="K465" i="46"/>
  <c r="R465" i="46" s="1"/>
  <c r="I465" i="46"/>
  <c r="Q464" i="46"/>
  <c r="K464" i="46"/>
  <c r="R464" i="46" s="1"/>
  <c r="I464" i="46"/>
  <c r="Q463" i="46"/>
  <c r="K463" i="46"/>
  <c r="R463" i="46" s="1"/>
  <c r="I463" i="46"/>
  <c r="Q462" i="46"/>
  <c r="K462" i="46"/>
  <c r="R462" i="46" s="1"/>
  <c r="I462" i="46"/>
  <c r="Q461" i="46"/>
  <c r="K461" i="46"/>
  <c r="R461" i="46" s="1"/>
  <c r="I461" i="46"/>
  <c r="Q460" i="46"/>
  <c r="K460" i="46"/>
  <c r="R460" i="46" s="1"/>
  <c r="I460" i="46"/>
  <c r="Q459" i="46"/>
  <c r="K459" i="46"/>
  <c r="R459" i="46" s="1"/>
  <c r="I459" i="46"/>
  <c r="Q458" i="46"/>
  <c r="K458" i="46"/>
  <c r="R458" i="46" s="1"/>
  <c r="I458" i="46"/>
  <c r="Q457" i="46"/>
  <c r="K457" i="46"/>
  <c r="R457" i="46" s="1"/>
  <c r="I457" i="46"/>
  <c r="Q456" i="46"/>
  <c r="K456" i="46"/>
  <c r="R456" i="46" s="1"/>
  <c r="I456" i="46"/>
  <c r="Q455" i="46"/>
  <c r="K455" i="46"/>
  <c r="R455" i="46" s="1"/>
  <c r="I455" i="46"/>
  <c r="Q454" i="46"/>
  <c r="K454" i="46"/>
  <c r="L454" i="46" s="1"/>
  <c r="I454" i="46"/>
  <c r="Q453" i="46"/>
  <c r="K453" i="46"/>
  <c r="R453" i="46" s="1"/>
  <c r="I453" i="46"/>
  <c r="Q452" i="46"/>
  <c r="K452" i="46"/>
  <c r="R452" i="46" s="1"/>
  <c r="I452" i="46"/>
  <c r="Q451" i="46"/>
  <c r="K451" i="46"/>
  <c r="R451" i="46" s="1"/>
  <c r="I451" i="46"/>
  <c r="Q450" i="46"/>
  <c r="K450" i="46"/>
  <c r="R450" i="46" s="1"/>
  <c r="I450" i="46"/>
  <c r="Q449" i="46"/>
  <c r="K449" i="46"/>
  <c r="R449" i="46" s="1"/>
  <c r="I449" i="46"/>
  <c r="Q448" i="46"/>
  <c r="K448" i="46"/>
  <c r="R448" i="46" s="1"/>
  <c r="I448" i="46"/>
  <c r="Q447" i="46"/>
  <c r="K447" i="46"/>
  <c r="R447" i="46" s="1"/>
  <c r="I447" i="46"/>
  <c r="Q446" i="46"/>
  <c r="K446" i="46"/>
  <c r="R446" i="46" s="1"/>
  <c r="I446" i="46"/>
  <c r="Q445" i="46"/>
  <c r="K445" i="46"/>
  <c r="R445" i="46" s="1"/>
  <c r="I445" i="46"/>
  <c r="Q444" i="46"/>
  <c r="K444" i="46"/>
  <c r="R444" i="46" s="1"/>
  <c r="I444" i="46"/>
  <c r="Q443" i="46"/>
  <c r="K443" i="46"/>
  <c r="R443" i="46" s="1"/>
  <c r="I443" i="46"/>
  <c r="Q442" i="46"/>
  <c r="K442" i="46"/>
  <c r="L442" i="46" s="1"/>
  <c r="I442" i="46"/>
  <c r="Q441" i="46"/>
  <c r="K441" i="46"/>
  <c r="R441" i="46" s="1"/>
  <c r="I441" i="46"/>
  <c r="Q440" i="46"/>
  <c r="K440" i="46"/>
  <c r="R440" i="46" s="1"/>
  <c r="I440" i="46"/>
  <c r="Q439" i="46"/>
  <c r="K439" i="46"/>
  <c r="R439" i="46" s="1"/>
  <c r="I439" i="46"/>
  <c r="Q438" i="46"/>
  <c r="K438" i="46"/>
  <c r="R438" i="46" s="1"/>
  <c r="I438" i="46"/>
  <c r="Q437" i="46"/>
  <c r="K437" i="46"/>
  <c r="R437" i="46" s="1"/>
  <c r="I437" i="46"/>
  <c r="Q436" i="46"/>
  <c r="K436" i="46"/>
  <c r="R436" i="46" s="1"/>
  <c r="I436" i="46"/>
  <c r="Q435" i="46"/>
  <c r="K435" i="46"/>
  <c r="R435" i="46" s="1"/>
  <c r="I435" i="46"/>
  <c r="Q434" i="46"/>
  <c r="K434" i="46"/>
  <c r="L434" i="46" s="1"/>
  <c r="I434" i="46"/>
  <c r="Q433" i="46"/>
  <c r="K433" i="46"/>
  <c r="R433" i="46" s="1"/>
  <c r="I433" i="46"/>
  <c r="Q432" i="46"/>
  <c r="K432" i="46"/>
  <c r="R432" i="46" s="1"/>
  <c r="I432" i="46"/>
  <c r="Q431" i="46"/>
  <c r="K431" i="46"/>
  <c r="R431" i="46" s="1"/>
  <c r="I431" i="46"/>
  <c r="Q430" i="46"/>
  <c r="K430" i="46"/>
  <c r="R430" i="46" s="1"/>
  <c r="I430" i="46"/>
  <c r="Q429" i="46"/>
  <c r="K429" i="46"/>
  <c r="R429" i="46" s="1"/>
  <c r="I429" i="46"/>
  <c r="Q428" i="46"/>
  <c r="K428" i="46"/>
  <c r="R428" i="46" s="1"/>
  <c r="I428" i="46"/>
  <c r="Q427" i="46"/>
  <c r="K427" i="46"/>
  <c r="R427" i="46" s="1"/>
  <c r="I427" i="46"/>
  <c r="Q426" i="46"/>
  <c r="K426" i="46"/>
  <c r="L426" i="46" s="1"/>
  <c r="I426" i="46"/>
  <c r="Q425" i="46"/>
  <c r="K425" i="46"/>
  <c r="R425" i="46" s="1"/>
  <c r="I425" i="46"/>
  <c r="Q424" i="46"/>
  <c r="K424" i="46"/>
  <c r="R424" i="46" s="1"/>
  <c r="I424" i="46"/>
  <c r="Q423" i="46"/>
  <c r="K423" i="46"/>
  <c r="R423" i="46" s="1"/>
  <c r="I423" i="46"/>
  <c r="Q422" i="46"/>
  <c r="K422" i="46"/>
  <c r="R422" i="46" s="1"/>
  <c r="I422" i="46"/>
  <c r="Q421" i="46"/>
  <c r="K421" i="46"/>
  <c r="R421" i="46" s="1"/>
  <c r="I421" i="46"/>
  <c r="Q420" i="46"/>
  <c r="K420" i="46"/>
  <c r="R420" i="46" s="1"/>
  <c r="I420" i="46"/>
  <c r="Q419" i="46"/>
  <c r="K419" i="46"/>
  <c r="R419" i="46" s="1"/>
  <c r="I419" i="46"/>
  <c r="Q418" i="46"/>
  <c r="K418" i="46"/>
  <c r="R418" i="46" s="1"/>
  <c r="I418" i="46"/>
  <c r="Q417" i="46"/>
  <c r="K417" i="46"/>
  <c r="R417" i="46" s="1"/>
  <c r="I417" i="46"/>
  <c r="Q416" i="46"/>
  <c r="K416" i="46"/>
  <c r="R416" i="46" s="1"/>
  <c r="I416" i="46"/>
  <c r="Q415" i="46"/>
  <c r="K415" i="46"/>
  <c r="R415" i="46" s="1"/>
  <c r="I415" i="46"/>
  <c r="Q414" i="46"/>
  <c r="K414" i="46"/>
  <c r="R414" i="46" s="1"/>
  <c r="I414" i="46"/>
  <c r="Q413" i="46"/>
  <c r="K413" i="46"/>
  <c r="R413" i="46" s="1"/>
  <c r="I413" i="46"/>
  <c r="Q412" i="46"/>
  <c r="K412" i="46"/>
  <c r="R412" i="46" s="1"/>
  <c r="I412" i="46"/>
  <c r="Q411" i="46"/>
  <c r="K411" i="46"/>
  <c r="R411" i="46" s="1"/>
  <c r="I411" i="46"/>
  <c r="Q410" i="46"/>
  <c r="K410" i="46"/>
  <c r="R410" i="46" s="1"/>
  <c r="I410" i="46"/>
  <c r="Q409" i="46"/>
  <c r="K409" i="46"/>
  <c r="R409" i="46" s="1"/>
  <c r="I409" i="46"/>
  <c r="Q408" i="46"/>
  <c r="K408" i="46"/>
  <c r="R408" i="46" s="1"/>
  <c r="I408" i="46"/>
  <c r="Q407" i="46"/>
  <c r="K407" i="46"/>
  <c r="R407" i="46" s="1"/>
  <c r="I407" i="46"/>
  <c r="Q406" i="46"/>
  <c r="K406" i="46"/>
  <c r="R406" i="46" s="1"/>
  <c r="I406" i="46"/>
  <c r="Q405" i="46"/>
  <c r="K405" i="46"/>
  <c r="R405" i="46" s="1"/>
  <c r="I405" i="46"/>
  <c r="Q404" i="46"/>
  <c r="K404" i="46"/>
  <c r="R404" i="46" s="1"/>
  <c r="I404" i="46"/>
  <c r="Q403" i="46"/>
  <c r="K403" i="46"/>
  <c r="R403" i="46" s="1"/>
  <c r="I403" i="46"/>
  <c r="Q402" i="46"/>
  <c r="K402" i="46"/>
  <c r="R402" i="46" s="1"/>
  <c r="I402" i="46"/>
  <c r="Q401" i="46"/>
  <c r="K401" i="46"/>
  <c r="R401" i="46" s="1"/>
  <c r="I401" i="46"/>
  <c r="Q400" i="46"/>
  <c r="K400" i="46"/>
  <c r="R400" i="46" s="1"/>
  <c r="I400" i="46"/>
  <c r="Q399" i="46"/>
  <c r="K399" i="46"/>
  <c r="R399" i="46" s="1"/>
  <c r="I399" i="46"/>
  <c r="Q398" i="46"/>
  <c r="K398" i="46"/>
  <c r="R398" i="46" s="1"/>
  <c r="I398" i="46"/>
  <c r="Q397" i="46"/>
  <c r="K397" i="46"/>
  <c r="R397" i="46" s="1"/>
  <c r="I397" i="46"/>
  <c r="Q396" i="46"/>
  <c r="K396" i="46"/>
  <c r="R396" i="46" s="1"/>
  <c r="I396" i="46"/>
  <c r="Q395" i="46"/>
  <c r="K395" i="46"/>
  <c r="R395" i="46" s="1"/>
  <c r="I395" i="46"/>
  <c r="Q394" i="46"/>
  <c r="K394" i="46"/>
  <c r="R394" i="46" s="1"/>
  <c r="I394" i="46"/>
  <c r="Q393" i="46"/>
  <c r="K393" i="46"/>
  <c r="R393" i="46" s="1"/>
  <c r="I393" i="46"/>
  <c r="Q392" i="46"/>
  <c r="K392" i="46"/>
  <c r="R392" i="46" s="1"/>
  <c r="I392" i="46"/>
  <c r="Q391" i="46"/>
  <c r="K391" i="46"/>
  <c r="R391" i="46" s="1"/>
  <c r="I391" i="46"/>
  <c r="Q390" i="46"/>
  <c r="K390" i="46"/>
  <c r="R390" i="46" s="1"/>
  <c r="I390" i="46"/>
  <c r="Q389" i="46"/>
  <c r="K389" i="46"/>
  <c r="R389" i="46" s="1"/>
  <c r="I389" i="46"/>
  <c r="Q388" i="46"/>
  <c r="K388" i="46"/>
  <c r="R388" i="46" s="1"/>
  <c r="I388" i="46"/>
  <c r="Q387" i="46"/>
  <c r="K387" i="46"/>
  <c r="R387" i="46" s="1"/>
  <c r="I387" i="46"/>
  <c r="Q386" i="46"/>
  <c r="K386" i="46"/>
  <c r="R386" i="46" s="1"/>
  <c r="I386" i="46"/>
  <c r="Q385" i="46"/>
  <c r="K385" i="46"/>
  <c r="R385" i="46" s="1"/>
  <c r="I385" i="46"/>
  <c r="Q384" i="46"/>
  <c r="K384" i="46"/>
  <c r="R384" i="46" s="1"/>
  <c r="I384" i="46"/>
  <c r="Q383" i="46"/>
  <c r="K383" i="46"/>
  <c r="R383" i="46" s="1"/>
  <c r="I383" i="46"/>
  <c r="Q382" i="46"/>
  <c r="K382" i="46"/>
  <c r="R382" i="46" s="1"/>
  <c r="I382" i="46"/>
  <c r="Q381" i="46"/>
  <c r="K381" i="46"/>
  <c r="R381" i="46" s="1"/>
  <c r="I381" i="46"/>
  <c r="Q380" i="46"/>
  <c r="K380" i="46"/>
  <c r="R380" i="46" s="1"/>
  <c r="I380" i="46"/>
  <c r="Q379" i="46"/>
  <c r="K379" i="46"/>
  <c r="R379" i="46" s="1"/>
  <c r="I379" i="46"/>
  <c r="Q378" i="46"/>
  <c r="K378" i="46"/>
  <c r="R378" i="46" s="1"/>
  <c r="I378" i="46"/>
  <c r="Q377" i="46"/>
  <c r="K377" i="46"/>
  <c r="R377" i="46" s="1"/>
  <c r="I377" i="46"/>
  <c r="Q376" i="46"/>
  <c r="K376" i="46"/>
  <c r="R376" i="46" s="1"/>
  <c r="I376" i="46"/>
  <c r="Q375" i="46"/>
  <c r="K375" i="46"/>
  <c r="R375" i="46" s="1"/>
  <c r="I375" i="46"/>
  <c r="Q374" i="46"/>
  <c r="K374" i="46"/>
  <c r="R374" i="46" s="1"/>
  <c r="I374" i="46"/>
  <c r="Q373" i="46"/>
  <c r="K373" i="46"/>
  <c r="R373" i="46" s="1"/>
  <c r="I373" i="46"/>
  <c r="Q372" i="46"/>
  <c r="K372" i="46"/>
  <c r="R372" i="46" s="1"/>
  <c r="I372" i="46"/>
  <c r="Q371" i="46"/>
  <c r="K371" i="46"/>
  <c r="R371" i="46" s="1"/>
  <c r="I371" i="46"/>
  <c r="Q370" i="46"/>
  <c r="K370" i="46"/>
  <c r="R370" i="46" s="1"/>
  <c r="I370" i="46"/>
  <c r="Q369" i="46"/>
  <c r="K369" i="46"/>
  <c r="R369" i="46" s="1"/>
  <c r="I369" i="46"/>
  <c r="Q368" i="46"/>
  <c r="K368" i="46"/>
  <c r="R368" i="46" s="1"/>
  <c r="I368" i="46"/>
  <c r="Q367" i="46"/>
  <c r="K367" i="46"/>
  <c r="R367" i="46" s="1"/>
  <c r="I367" i="46"/>
  <c r="Q366" i="46"/>
  <c r="K366" i="46"/>
  <c r="R366" i="46" s="1"/>
  <c r="I366" i="46"/>
  <c r="Q365" i="46"/>
  <c r="K365" i="46"/>
  <c r="R365" i="46" s="1"/>
  <c r="I365" i="46"/>
  <c r="Q364" i="46"/>
  <c r="K364" i="46"/>
  <c r="R364" i="46" s="1"/>
  <c r="I364" i="46"/>
  <c r="Q363" i="46"/>
  <c r="K363" i="46"/>
  <c r="R363" i="46" s="1"/>
  <c r="I363" i="46"/>
  <c r="Q362" i="46"/>
  <c r="K362" i="46"/>
  <c r="L362" i="46" s="1"/>
  <c r="I362" i="46"/>
  <c r="Q361" i="46"/>
  <c r="K361" i="46"/>
  <c r="R361" i="46" s="1"/>
  <c r="I361" i="46"/>
  <c r="Q360" i="46"/>
  <c r="K360" i="46"/>
  <c r="R360" i="46" s="1"/>
  <c r="I360" i="46"/>
  <c r="Q359" i="46"/>
  <c r="K359" i="46"/>
  <c r="R359" i="46" s="1"/>
  <c r="I359" i="46"/>
  <c r="Q358" i="46"/>
  <c r="K358" i="46"/>
  <c r="L358" i="46" s="1"/>
  <c r="I358" i="46"/>
  <c r="Q357" i="46"/>
  <c r="K357" i="46"/>
  <c r="R357" i="46" s="1"/>
  <c r="I357" i="46"/>
  <c r="Q356" i="46"/>
  <c r="K356" i="46"/>
  <c r="R356" i="46" s="1"/>
  <c r="I356" i="46"/>
  <c r="Q355" i="46"/>
  <c r="K355" i="46"/>
  <c r="R355" i="46" s="1"/>
  <c r="I355" i="46"/>
  <c r="Q354" i="46"/>
  <c r="K354" i="46"/>
  <c r="R354" i="46" s="1"/>
  <c r="I354" i="46"/>
  <c r="Q353" i="46"/>
  <c r="K353" i="46"/>
  <c r="R353" i="46" s="1"/>
  <c r="I353" i="46"/>
  <c r="Q352" i="46"/>
  <c r="K352" i="46"/>
  <c r="R352" i="46" s="1"/>
  <c r="I352" i="46"/>
  <c r="Q351" i="46"/>
  <c r="K351" i="46"/>
  <c r="R351" i="46" s="1"/>
  <c r="I351" i="46"/>
  <c r="Q350" i="46"/>
  <c r="K350" i="46"/>
  <c r="R350" i="46" s="1"/>
  <c r="I350" i="46"/>
  <c r="Q349" i="46"/>
  <c r="K349" i="46"/>
  <c r="R349" i="46" s="1"/>
  <c r="I349" i="46"/>
  <c r="Q348" i="46"/>
  <c r="K348" i="46"/>
  <c r="R348" i="46" s="1"/>
  <c r="I348" i="46"/>
  <c r="Q347" i="46"/>
  <c r="K347" i="46"/>
  <c r="R347" i="46" s="1"/>
  <c r="I347" i="46"/>
  <c r="Q346" i="46"/>
  <c r="K346" i="46"/>
  <c r="R346" i="46" s="1"/>
  <c r="I346" i="46"/>
  <c r="Q345" i="46"/>
  <c r="K345" i="46"/>
  <c r="R345" i="46" s="1"/>
  <c r="I345" i="46"/>
  <c r="Q344" i="46"/>
  <c r="K344" i="46"/>
  <c r="R344" i="46" s="1"/>
  <c r="I344" i="46"/>
  <c r="Q343" i="46"/>
  <c r="K343" i="46"/>
  <c r="R343" i="46" s="1"/>
  <c r="I343" i="46"/>
  <c r="Q342" i="46"/>
  <c r="K342" i="46"/>
  <c r="R342" i="46" s="1"/>
  <c r="I342" i="46"/>
  <c r="Q341" i="46"/>
  <c r="K341" i="46"/>
  <c r="R341" i="46" s="1"/>
  <c r="I341" i="46"/>
  <c r="Q340" i="46"/>
  <c r="K340" i="46"/>
  <c r="R340" i="46" s="1"/>
  <c r="I340" i="46"/>
  <c r="Q339" i="46"/>
  <c r="K339" i="46"/>
  <c r="R339" i="46" s="1"/>
  <c r="I339" i="46"/>
  <c r="Q338" i="46"/>
  <c r="K338" i="46"/>
  <c r="R338" i="46" s="1"/>
  <c r="I338" i="46"/>
  <c r="Q337" i="46"/>
  <c r="K337" i="46"/>
  <c r="R337" i="46" s="1"/>
  <c r="I337" i="46"/>
  <c r="Q336" i="46"/>
  <c r="K336" i="46"/>
  <c r="R336" i="46" s="1"/>
  <c r="I336" i="46"/>
  <c r="Q335" i="46"/>
  <c r="K335" i="46"/>
  <c r="R335" i="46" s="1"/>
  <c r="I335" i="46"/>
  <c r="Q334" i="46"/>
  <c r="K334" i="46"/>
  <c r="R334" i="46" s="1"/>
  <c r="I334" i="46"/>
  <c r="Q333" i="46"/>
  <c r="K333" i="46"/>
  <c r="R333" i="46" s="1"/>
  <c r="I333" i="46"/>
  <c r="Q332" i="46"/>
  <c r="K332" i="46"/>
  <c r="R332" i="46" s="1"/>
  <c r="I332" i="46"/>
  <c r="Q331" i="46"/>
  <c r="K331" i="46"/>
  <c r="R331" i="46" s="1"/>
  <c r="I331" i="46"/>
  <c r="Q330" i="46"/>
  <c r="K330" i="46"/>
  <c r="R330" i="46" s="1"/>
  <c r="I330" i="46"/>
  <c r="Q329" i="46"/>
  <c r="K329" i="46"/>
  <c r="R329" i="46" s="1"/>
  <c r="I329" i="46"/>
  <c r="Q328" i="46"/>
  <c r="K328" i="46"/>
  <c r="R328" i="46" s="1"/>
  <c r="I328" i="46"/>
  <c r="Q327" i="46"/>
  <c r="K327" i="46"/>
  <c r="R327" i="46" s="1"/>
  <c r="I327" i="46"/>
  <c r="Q326" i="46"/>
  <c r="K326" i="46"/>
  <c r="R326" i="46" s="1"/>
  <c r="I326" i="46"/>
  <c r="Q325" i="46"/>
  <c r="K325" i="46"/>
  <c r="R325" i="46" s="1"/>
  <c r="I325" i="46"/>
  <c r="Q324" i="46"/>
  <c r="K324" i="46"/>
  <c r="R324" i="46" s="1"/>
  <c r="I324" i="46"/>
  <c r="Q323" i="46"/>
  <c r="K323" i="46"/>
  <c r="R323" i="46" s="1"/>
  <c r="I323" i="46"/>
  <c r="Q322" i="46"/>
  <c r="K322" i="46"/>
  <c r="R322" i="46" s="1"/>
  <c r="I322" i="46"/>
  <c r="Q321" i="46"/>
  <c r="K321" i="46"/>
  <c r="L321" i="46" s="1"/>
  <c r="I321" i="46"/>
  <c r="Q320" i="46"/>
  <c r="K320" i="46"/>
  <c r="R320" i="46" s="1"/>
  <c r="I320" i="46"/>
  <c r="Q319" i="46"/>
  <c r="K319" i="46"/>
  <c r="R319" i="46" s="1"/>
  <c r="I319" i="46"/>
  <c r="Q318" i="46"/>
  <c r="K318" i="46"/>
  <c r="R318" i="46" s="1"/>
  <c r="I318" i="46"/>
  <c r="Q317" i="46"/>
  <c r="K317" i="46"/>
  <c r="R317" i="46" s="1"/>
  <c r="I317" i="46"/>
  <c r="Q316" i="46"/>
  <c r="K316" i="46"/>
  <c r="I316" i="46"/>
  <c r="Q315" i="46"/>
  <c r="K315" i="46"/>
  <c r="I315" i="46"/>
  <c r="Q314" i="46"/>
  <c r="K314" i="46"/>
  <c r="R314" i="46" s="1"/>
  <c r="I314" i="46"/>
  <c r="Q313" i="46"/>
  <c r="K313" i="46"/>
  <c r="R313" i="46" s="1"/>
  <c r="I313" i="46"/>
  <c r="Q312" i="46"/>
  <c r="K312" i="46"/>
  <c r="I312" i="46"/>
  <c r="Q311" i="46"/>
  <c r="K311" i="46"/>
  <c r="I311" i="46"/>
  <c r="Q310" i="46"/>
  <c r="K310" i="46"/>
  <c r="R310" i="46" s="1"/>
  <c r="I310" i="46"/>
  <c r="Q309" i="46"/>
  <c r="K309" i="46"/>
  <c r="R309" i="46" s="1"/>
  <c r="I309" i="46"/>
  <c r="Q308" i="46"/>
  <c r="K308" i="46"/>
  <c r="I308" i="46"/>
  <c r="Q307" i="46"/>
  <c r="K307" i="46"/>
  <c r="I307" i="46"/>
  <c r="Q306" i="46"/>
  <c r="K306" i="46"/>
  <c r="R306" i="46" s="1"/>
  <c r="I306" i="46"/>
  <c r="Q305" i="46"/>
  <c r="K305" i="46"/>
  <c r="R305" i="46" s="1"/>
  <c r="I305" i="46"/>
  <c r="Q304" i="46"/>
  <c r="K304" i="46"/>
  <c r="I304" i="46"/>
  <c r="Q303" i="46"/>
  <c r="K303" i="46"/>
  <c r="I303" i="46"/>
  <c r="Q302" i="46"/>
  <c r="K302" i="46"/>
  <c r="R302" i="46" s="1"/>
  <c r="I302" i="46"/>
  <c r="Q301" i="46"/>
  <c r="K301" i="46"/>
  <c r="R301" i="46" s="1"/>
  <c r="I301" i="46"/>
  <c r="Q300" i="46"/>
  <c r="K300" i="46"/>
  <c r="I300" i="46"/>
  <c r="Q299" i="46"/>
  <c r="K299" i="46"/>
  <c r="I299" i="46"/>
  <c r="Q298" i="46"/>
  <c r="K298" i="46"/>
  <c r="R298" i="46" s="1"/>
  <c r="I298" i="46"/>
  <c r="Q297" i="46"/>
  <c r="K297" i="46"/>
  <c r="R297" i="46" s="1"/>
  <c r="I297" i="46"/>
  <c r="Q296" i="46"/>
  <c r="K296" i="46"/>
  <c r="I296" i="46"/>
  <c r="Q295" i="46"/>
  <c r="K295" i="46"/>
  <c r="I295" i="46"/>
  <c r="Q294" i="46"/>
  <c r="K294" i="46"/>
  <c r="R294" i="46" s="1"/>
  <c r="I294" i="46"/>
  <c r="Q293" i="46"/>
  <c r="K293" i="46"/>
  <c r="R293" i="46" s="1"/>
  <c r="I293" i="46"/>
  <c r="Q292" i="46"/>
  <c r="K292" i="46"/>
  <c r="I292" i="46"/>
  <c r="Q291" i="46"/>
  <c r="K291" i="46"/>
  <c r="I291" i="46"/>
  <c r="Q290" i="46"/>
  <c r="K290" i="46"/>
  <c r="R290" i="46" s="1"/>
  <c r="I290" i="46"/>
  <c r="Q289" i="46"/>
  <c r="K289" i="46"/>
  <c r="R289" i="46" s="1"/>
  <c r="I289" i="46"/>
  <c r="Q288" i="46"/>
  <c r="K288" i="46"/>
  <c r="I288" i="46"/>
  <c r="Q287" i="46"/>
  <c r="K287" i="46"/>
  <c r="I287" i="46"/>
  <c r="Q286" i="46"/>
  <c r="K286" i="46"/>
  <c r="R286" i="46" s="1"/>
  <c r="I286" i="46"/>
  <c r="Q285" i="46"/>
  <c r="K285" i="46"/>
  <c r="R285" i="46" s="1"/>
  <c r="I285" i="46"/>
  <c r="Q284" i="46"/>
  <c r="K284" i="46"/>
  <c r="I284" i="46"/>
  <c r="Q283" i="46"/>
  <c r="K283" i="46"/>
  <c r="I283" i="46"/>
  <c r="Q282" i="46"/>
  <c r="K282" i="46"/>
  <c r="R282" i="46" s="1"/>
  <c r="I282" i="46"/>
  <c r="Q281" i="46"/>
  <c r="K281" i="46"/>
  <c r="R281" i="46" s="1"/>
  <c r="I281" i="46"/>
  <c r="Q280" i="46"/>
  <c r="K280" i="46"/>
  <c r="I280" i="46"/>
  <c r="Q279" i="46"/>
  <c r="K279" i="46"/>
  <c r="I279" i="46"/>
  <c r="Q278" i="46"/>
  <c r="K278" i="46"/>
  <c r="R278" i="46" s="1"/>
  <c r="I278" i="46"/>
  <c r="Q277" i="46"/>
  <c r="K277" i="46"/>
  <c r="R277" i="46" s="1"/>
  <c r="I277" i="46"/>
  <c r="Q276" i="46"/>
  <c r="K276" i="46"/>
  <c r="I276" i="46"/>
  <c r="Q275" i="46"/>
  <c r="K275" i="46"/>
  <c r="I275" i="46"/>
  <c r="Q274" i="46"/>
  <c r="K274" i="46"/>
  <c r="R274" i="46" s="1"/>
  <c r="I274" i="46"/>
  <c r="Q273" i="46"/>
  <c r="K273" i="46"/>
  <c r="R273" i="46" s="1"/>
  <c r="I273" i="46"/>
  <c r="Q272" i="46"/>
  <c r="K272" i="46"/>
  <c r="I272" i="46"/>
  <c r="Q271" i="46"/>
  <c r="K271" i="46"/>
  <c r="I271" i="46"/>
  <c r="Q270" i="46"/>
  <c r="K270" i="46"/>
  <c r="R270" i="46" s="1"/>
  <c r="I270" i="46"/>
  <c r="Q269" i="46"/>
  <c r="K269" i="46"/>
  <c r="R269" i="46" s="1"/>
  <c r="I269" i="46"/>
  <c r="Q268" i="46"/>
  <c r="K268" i="46"/>
  <c r="I268" i="46"/>
  <c r="Q267" i="46"/>
  <c r="K267" i="46"/>
  <c r="I267" i="46"/>
  <c r="Q266" i="46"/>
  <c r="K266" i="46"/>
  <c r="R266" i="46" s="1"/>
  <c r="I266" i="46"/>
  <c r="Q265" i="46"/>
  <c r="K265" i="46"/>
  <c r="R265" i="46" s="1"/>
  <c r="I265" i="46"/>
  <c r="Q264" i="46"/>
  <c r="K264" i="46"/>
  <c r="I264" i="46"/>
  <c r="Q263" i="46"/>
  <c r="K263" i="46"/>
  <c r="I263" i="46"/>
  <c r="Q262" i="46"/>
  <c r="K262" i="46"/>
  <c r="R262" i="46" s="1"/>
  <c r="I262" i="46"/>
  <c r="Q261" i="46"/>
  <c r="K261" i="46"/>
  <c r="R261" i="46" s="1"/>
  <c r="I261" i="46"/>
  <c r="Q260" i="46"/>
  <c r="K260" i="46"/>
  <c r="I260" i="46"/>
  <c r="Q259" i="46"/>
  <c r="K259" i="46"/>
  <c r="I259" i="46"/>
  <c r="Q258" i="46"/>
  <c r="K258" i="46"/>
  <c r="R258" i="46" s="1"/>
  <c r="I258" i="46"/>
  <c r="Q257" i="46"/>
  <c r="K257" i="46"/>
  <c r="R257" i="46" s="1"/>
  <c r="I257" i="46"/>
  <c r="Q256" i="46"/>
  <c r="K256" i="46"/>
  <c r="I256" i="46"/>
  <c r="Q255" i="46"/>
  <c r="K255" i="46"/>
  <c r="I255" i="46"/>
  <c r="Q254" i="46"/>
  <c r="K254" i="46"/>
  <c r="R254" i="46" s="1"/>
  <c r="I254" i="46"/>
  <c r="Q253" i="46"/>
  <c r="K253" i="46"/>
  <c r="R253" i="46" s="1"/>
  <c r="I253" i="46"/>
  <c r="Q252" i="46"/>
  <c r="K252" i="46"/>
  <c r="I252" i="46"/>
  <c r="Q251" i="46"/>
  <c r="K251" i="46"/>
  <c r="I251" i="46"/>
  <c r="Q250" i="46"/>
  <c r="K250" i="46"/>
  <c r="R250" i="46" s="1"/>
  <c r="I250" i="46"/>
  <c r="Q249" i="46"/>
  <c r="K249" i="46"/>
  <c r="R249" i="46" s="1"/>
  <c r="I249" i="46"/>
  <c r="Q248" i="46"/>
  <c r="K248" i="46"/>
  <c r="I248" i="46"/>
  <c r="Q247" i="46"/>
  <c r="K247" i="46"/>
  <c r="I247" i="46"/>
  <c r="Q246" i="46"/>
  <c r="K246" i="46"/>
  <c r="R246" i="46" s="1"/>
  <c r="I246" i="46"/>
  <c r="Q245" i="46"/>
  <c r="K245" i="46"/>
  <c r="R245" i="46" s="1"/>
  <c r="I245" i="46"/>
  <c r="Q244" i="46"/>
  <c r="K244" i="46"/>
  <c r="I244" i="46"/>
  <c r="Q243" i="46"/>
  <c r="K243" i="46"/>
  <c r="I243" i="46"/>
  <c r="Q242" i="46"/>
  <c r="K242" i="46"/>
  <c r="R242" i="46" s="1"/>
  <c r="I242" i="46"/>
  <c r="Q241" i="46"/>
  <c r="K241" i="46"/>
  <c r="R241" i="46" s="1"/>
  <c r="I241" i="46"/>
  <c r="Q240" i="46"/>
  <c r="K240" i="46"/>
  <c r="I240" i="46"/>
  <c r="Q239" i="46"/>
  <c r="K239" i="46"/>
  <c r="I239" i="46"/>
  <c r="Q238" i="46"/>
  <c r="K238" i="46"/>
  <c r="R238" i="46" s="1"/>
  <c r="I238" i="46"/>
  <c r="Q237" i="46"/>
  <c r="K237" i="46"/>
  <c r="R237" i="46" s="1"/>
  <c r="I237" i="46"/>
  <c r="Q236" i="46"/>
  <c r="K236" i="46"/>
  <c r="I236" i="46"/>
  <c r="Q235" i="46"/>
  <c r="K235" i="46"/>
  <c r="I235" i="46"/>
  <c r="Q234" i="46"/>
  <c r="K234" i="46"/>
  <c r="R234" i="46" s="1"/>
  <c r="I234" i="46"/>
  <c r="Q233" i="46"/>
  <c r="K233" i="46"/>
  <c r="R233" i="46" s="1"/>
  <c r="I233" i="46"/>
  <c r="Q232" i="46"/>
  <c r="K232" i="46"/>
  <c r="I232" i="46"/>
  <c r="Q231" i="46"/>
  <c r="K231" i="46"/>
  <c r="I231" i="46"/>
  <c r="Q230" i="46"/>
  <c r="K230" i="46"/>
  <c r="R230" i="46" s="1"/>
  <c r="I230" i="46"/>
  <c r="Q229" i="46"/>
  <c r="K229" i="46"/>
  <c r="R229" i="46" s="1"/>
  <c r="I229" i="46"/>
  <c r="Q228" i="46"/>
  <c r="K228" i="46"/>
  <c r="I228" i="46"/>
  <c r="Q227" i="46"/>
  <c r="K227" i="46"/>
  <c r="I227" i="46"/>
  <c r="Q226" i="46"/>
  <c r="K226" i="46"/>
  <c r="R226" i="46" s="1"/>
  <c r="I226" i="46"/>
  <c r="Q225" i="46"/>
  <c r="K225" i="46"/>
  <c r="R225" i="46" s="1"/>
  <c r="I225" i="46"/>
  <c r="Q224" i="46"/>
  <c r="K224" i="46"/>
  <c r="I224" i="46"/>
  <c r="Q223" i="46"/>
  <c r="K223" i="46"/>
  <c r="I223" i="46"/>
  <c r="Q222" i="46"/>
  <c r="K222" i="46"/>
  <c r="R222" i="46" s="1"/>
  <c r="I222" i="46"/>
  <c r="Q221" i="46"/>
  <c r="K221" i="46"/>
  <c r="R221" i="46" s="1"/>
  <c r="I221" i="46"/>
  <c r="Q220" i="46"/>
  <c r="K220" i="46"/>
  <c r="R220" i="46" s="1"/>
  <c r="I220" i="46"/>
  <c r="Q219" i="46"/>
  <c r="K219" i="46"/>
  <c r="I219" i="46"/>
  <c r="Q218" i="46"/>
  <c r="K218" i="46"/>
  <c r="R218" i="46" s="1"/>
  <c r="I218" i="46"/>
  <c r="Q217" i="46"/>
  <c r="K217" i="46"/>
  <c r="R217" i="46" s="1"/>
  <c r="I217" i="46"/>
  <c r="Q216" i="46"/>
  <c r="K216" i="46"/>
  <c r="R216" i="46" s="1"/>
  <c r="I216" i="46"/>
  <c r="Q215" i="46"/>
  <c r="K215" i="46"/>
  <c r="I215" i="46"/>
  <c r="Q214" i="46"/>
  <c r="K214" i="46"/>
  <c r="R214" i="46" s="1"/>
  <c r="I214" i="46"/>
  <c r="Q213" i="46"/>
  <c r="K213" i="46"/>
  <c r="R213" i="46" s="1"/>
  <c r="I213" i="46"/>
  <c r="Q212" i="46"/>
  <c r="K212" i="46"/>
  <c r="I212" i="46"/>
  <c r="Q211" i="46"/>
  <c r="K211" i="46"/>
  <c r="I211" i="46"/>
  <c r="Q210" i="46"/>
  <c r="K210" i="46"/>
  <c r="R210" i="46" s="1"/>
  <c r="I210" i="46"/>
  <c r="Q209" i="46"/>
  <c r="K209" i="46"/>
  <c r="R209" i="46" s="1"/>
  <c r="I209" i="46"/>
  <c r="Q208" i="46"/>
  <c r="K208" i="46"/>
  <c r="I208" i="46"/>
  <c r="Q207" i="46"/>
  <c r="K207" i="46"/>
  <c r="I207" i="46"/>
  <c r="Q206" i="46"/>
  <c r="K206" i="46"/>
  <c r="R206" i="46" s="1"/>
  <c r="I206" i="46"/>
  <c r="Q205" i="46"/>
  <c r="K205" i="46"/>
  <c r="R205" i="46" s="1"/>
  <c r="I205" i="46"/>
  <c r="Q204" i="46"/>
  <c r="K204" i="46"/>
  <c r="R204" i="46" s="1"/>
  <c r="I204" i="46"/>
  <c r="Q203" i="46"/>
  <c r="K203" i="46"/>
  <c r="I203" i="46"/>
  <c r="Q202" i="46"/>
  <c r="K202" i="46"/>
  <c r="R202" i="46" s="1"/>
  <c r="I202" i="46"/>
  <c r="Q201" i="46"/>
  <c r="K201" i="46"/>
  <c r="R201" i="46" s="1"/>
  <c r="I201" i="46"/>
  <c r="Q200" i="46"/>
  <c r="K200" i="46"/>
  <c r="R200" i="46" s="1"/>
  <c r="I200" i="46"/>
  <c r="Q199" i="46"/>
  <c r="K199" i="46"/>
  <c r="I199" i="46"/>
  <c r="Q198" i="46"/>
  <c r="K198" i="46"/>
  <c r="R198" i="46" s="1"/>
  <c r="I198" i="46"/>
  <c r="Q197" i="46"/>
  <c r="K197" i="46"/>
  <c r="R197" i="46" s="1"/>
  <c r="I197" i="46"/>
  <c r="Q196" i="46"/>
  <c r="K196" i="46"/>
  <c r="I196" i="46"/>
  <c r="Q195" i="46"/>
  <c r="K195" i="46"/>
  <c r="R195" i="46" s="1"/>
  <c r="I195" i="46"/>
  <c r="Q194" i="46"/>
  <c r="K194" i="46"/>
  <c r="R194" i="46" s="1"/>
  <c r="I194" i="46"/>
  <c r="Q193" i="46"/>
  <c r="K193" i="46"/>
  <c r="R193" i="46" s="1"/>
  <c r="I193" i="46"/>
  <c r="Q192" i="46"/>
  <c r="K192" i="46"/>
  <c r="R192" i="46" s="1"/>
  <c r="I192" i="46"/>
  <c r="Q191" i="46"/>
  <c r="K191" i="46"/>
  <c r="R191" i="46" s="1"/>
  <c r="I191" i="46"/>
  <c r="Q190" i="46"/>
  <c r="K190" i="46"/>
  <c r="R190" i="46" s="1"/>
  <c r="I190" i="46"/>
  <c r="Q189" i="46"/>
  <c r="K189" i="46"/>
  <c r="R189" i="46" s="1"/>
  <c r="I189" i="46"/>
  <c r="Q188" i="46"/>
  <c r="K188" i="46"/>
  <c r="R188" i="46" s="1"/>
  <c r="I188" i="46"/>
  <c r="Q187" i="46"/>
  <c r="K187" i="46"/>
  <c r="R187" i="46" s="1"/>
  <c r="I187" i="46"/>
  <c r="Q186" i="46"/>
  <c r="K186" i="46"/>
  <c r="R186" i="46" s="1"/>
  <c r="I186" i="46"/>
  <c r="Q185" i="46"/>
  <c r="K185" i="46"/>
  <c r="R185" i="46" s="1"/>
  <c r="I185" i="46"/>
  <c r="Q184" i="46"/>
  <c r="K184" i="46"/>
  <c r="R184" i="46" s="1"/>
  <c r="I184" i="46"/>
  <c r="Q183" i="46"/>
  <c r="K183" i="46"/>
  <c r="R183" i="46" s="1"/>
  <c r="I183" i="46"/>
  <c r="Q182" i="46"/>
  <c r="K182" i="46"/>
  <c r="R182" i="46" s="1"/>
  <c r="I182" i="46"/>
  <c r="Q181" i="46"/>
  <c r="K181" i="46"/>
  <c r="R181" i="46" s="1"/>
  <c r="I181" i="46"/>
  <c r="Q180" i="46"/>
  <c r="K180" i="46"/>
  <c r="R180" i="46" s="1"/>
  <c r="I180" i="46"/>
  <c r="Q179" i="46"/>
  <c r="K179" i="46"/>
  <c r="R179" i="46" s="1"/>
  <c r="I179" i="46"/>
  <c r="Q178" i="46"/>
  <c r="K178" i="46"/>
  <c r="R178" i="46" s="1"/>
  <c r="I178" i="46"/>
  <c r="Q177" i="46"/>
  <c r="K177" i="46"/>
  <c r="R177" i="46" s="1"/>
  <c r="I177" i="46"/>
  <c r="Q176" i="46"/>
  <c r="K176" i="46"/>
  <c r="R176" i="46" s="1"/>
  <c r="I176" i="46"/>
  <c r="Q175" i="46"/>
  <c r="K175" i="46"/>
  <c r="R175" i="46" s="1"/>
  <c r="I175" i="46"/>
  <c r="Q174" i="46"/>
  <c r="K174" i="46"/>
  <c r="R174" i="46" s="1"/>
  <c r="I174" i="46"/>
  <c r="Q173" i="46"/>
  <c r="K173" i="46"/>
  <c r="R173" i="46" s="1"/>
  <c r="I173" i="46"/>
  <c r="Q172" i="46"/>
  <c r="K172" i="46"/>
  <c r="R172" i="46" s="1"/>
  <c r="I172" i="46"/>
  <c r="Q171" i="46"/>
  <c r="K171" i="46"/>
  <c r="R171" i="46" s="1"/>
  <c r="I171" i="46"/>
  <c r="Q170" i="46"/>
  <c r="K170" i="46"/>
  <c r="R170" i="46" s="1"/>
  <c r="I170" i="46"/>
  <c r="Q169" i="46"/>
  <c r="K169" i="46"/>
  <c r="R169" i="46" s="1"/>
  <c r="I169" i="46"/>
  <c r="Q168" i="46"/>
  <c r="K168" i="46"/>
  <c r="R168" i="46" s="1"/>
  <c r="I168" i="46"/>
  <c r="Q167" i="46"/>
  <c r="K167" i="46"/>
  <c r="R167" i="46" s="1"/>
  <c r="I167" i="46"/>
  <c r="Q166" i="46"/>
  <c r="K166" i="46"/>
  <c r="R166" i="46" s="1"/>
  <c r="I166" i="46"/>
  <c r="Q165" i="46"/>
  <c r="K165" i="46"/>
  <c r="R165" i="46" s="1"/>
  <c r="I165" i="46"/>
  <c r="Q164" i="46"/>
  <c r="K164" i="46"/>
  <c r="R164" i="46" s="1"/>
  <c r="I164" i="46"/>
  <c r="Q163" i="46"/>
  <c r="K163" i="46"/>
  <c r="R163" i="46" s="1"/>
  <c r="I163" i="46"/>
  <c r="Q162" i="46"/>
  <c r="K162" i="46"/>
  <c r="R162" i="46" s="1"/>
  <c r="I162" i="46"/>
  <c r="Q161" i="46"/>
  <c r="K161" i="46"/>
  <c r="R161" i="46" s="1"/>
  <c r="I161" i="46"/>
  <c r="Q160" i="46"/>
  <c r="K160" i="46"/>
  <c r="R160" i="46" s="1"/>
  <c r="I160" i="46"/>
  <c r="Q159" i="46"/>
  <c r="K159" i="46"/>
  <c r="I159" i="46"/>
  <c r="Q158" i="46"/>
  <c r="K158" i="46"/>
  <c r="L158" i="46" s="1"/>
  <c r="I158" i="46"/>
  <c r="Q157" i="46"/>
  <c r="K157" i="46"/>
  <c r="R157" i="46" s="1"/>
  <c r="I157" i="46"/>
  <c r="Q156" i="46"/>
  <c r="K156" i="46"/>
  <c r="R156" i="46" s="1"/>
  <c r="I156" i="46"/>
  <c r="Q155" i="46"/>
  <c r="K155" i="46"/>
  <c r="R155" i="46" s="1"/>
  <c r="I155" i="46"/>
  <c r="Q154" i="46"/>
  <c r="K154" i="46"/>
  <c r="R154" i="46" s="1"/>
  <c r="I154" i="46"/>
  <c r="Q153" i="46"/>
  <c r="K153" i="46"/>
  <c r="R153" i="46" s="1"/>
  <c r="I153" i="46"/>
  <c r="Q152" i="46"/>
  <c r="K152" i="46"/>
  <c r="I152" i="46"/>
  <c r="Q151" i="46"/>
  <c r="K151" i="46"/>
  <c r="I151" i="46"/>
  <c r="Q150" i="46"/>
  <c r="K150" i="46"/>
  <c r="R150" i="46" s="1"/>
  <c r="I150" i="46"/>
  <c r="Q149" i="46"/>
  <c r="K149" i="46"/>
  <c r="R149" i="46" s="1"/>
  <c r="I149" i="46"/>
  <c r="Q148" i="46"/>
  <c r="K148" i="46"/>
  <c r="I148" i="46"/>
  <c r="Q147" i="46"/>
  <c r="K147" i="46"/>
  <c r="I147" i="46"/>
  <c r="Q146" i="46"/>
  <c r="K146" i="46"/>
  <c r="R146" i="46" s="1"/>
  <c r="I146" i="46"/>
  <c r="Q145" i="46"/>
  <c r="K145" i="46"/>
  <c r="R145" i="46" s="1"/>
  <c r="I145" i="46"/>
  <c r="Q144" i="46"/>
  <c r="K144" i="46"/>
  <c r="I144" i="46"/>
  <c r="Q143" i="46"/>
  <c r="K143" i="46"/>
  <c r="I143" i="46"/>
  <c r="Q142" i="46"/>
  <c r="K142" i="46"/>
  <c r="R142" i="46" s="1"/>
  <c r="I142" i="46"/>
  <c r="Q141" i="46"/>
  <c r="K141" i="46"/>
  <c r="R141" i="46" s="1"/>
  <c r="I141" i="46"/>
  <c r="Q140" i="46"/>
  <c r="K140" i="46"/>
  <c r="I140" i="46"/>
  <c r="Q139" i="46"/>
  <c r="K139" i="46"/>
  <c r="I139" i="46"/>
  <c r="Q138" i="46"/>
  <c r="K138" i="46"/>
  <c r="R138" i="46" s="1"/>
  <c r="I138" i="46"/>
  <c r="Q137" i="46"/>
  <c r="K137" i="46"/>
  <c r="R137" i="46" s="1"/>
  <c r="I137" i="46"/>
  <c r="Q136" i="46"/>
  <c r="K136" i="46"/>
  <c r="I136" i="46"/>
  <c r="Q135" i="46"/>
  <c r="K135" i="46"/>
  <c r="I135" i="46"/>
  <c r="Q134" i="46"/>
  <c r="K134" i="46"/>
  <c r="R134" i="46" s="1"/>
  <c r="I134" i="46"/>
  <c r="Q133" i="46"/>
  <c r="K133" i="46"/>
  <c r="R133" i="46" s="1"/>
  <c r="I133" i="46"/>
  <c r="Q132" i="46"/>
  <c r="K132" i="46"/>
  <c r="I132" i="46"/>
  <c r="Q131" i="46"/>
  <c r="K131" i="46"/>
  <c r="I131" i="46"/>
  <c r="Q130" i="46"/>
  <c r="K130" i="46"/>
  <c r="R130" i="46" s="1"/>
  <c r="I130" i="46"/>
  <c r="Q129" i="46"/>
  <c r="K129" i="46"/>
  <c r="R129" i="46" s="1"/>
  <c r="I129" i="46"/>
  <c r="Q128" i="46"/>
  <c r="K128" i="46"/>
  <c r="I128" i="46"/>
  <c r="Q127" i="46"/>
  <c r="K127" i="46"/>
  <c r="I127" i="46"/>
  <c r="Q126" i="46"/>
  <c r="K126" i="46"/>
  <c r="R126" i="46" s="1"/>
  <c r="I126" i="46"/>
  <c r="Q125" i="46"/>
  <c r="K125" i="46"/>
  <c r="R125" i="46" s="1"/>
  <c r="I125" i="46"/>
  <c r="Q124" i="46"/>
  <c r="K124" i="46"/>
  <c r="I124" i="46"/>
  <c r="Q123" i="46"/>
  <c r="K123" i="46"/>
  <c r="I123" i="46"/>
  <c r="Q122" i="46"/>
  <c r="K122" i="46"/>
  <c r="R122" i="46" s="1"/>
  <c r="I122" i="46"/>
  <c r="Q121" i="46"/>
  <c r="K121" i="46"/>
  <c r="R121" i="46" s="1"/>
  <c r="I121" i="46"/>
  <c r="Q120" i="46"/>
  <c r="K120" i="46"/>
  <c r="I120" i="46"/>
  <c r="Q119" i="46"/>
  <c r="K119" i="46"/>
  <c r="I119" i="46"/>
  <c r="Q118" i="46"/>
  <c r="K118" i="46"/>
  <c r="R118" i="46" s="1"/>
  <c r="I118" i="46"/>
  <c r="Q117" i="46"/>
  <c r="K117" i="46"/>
  <c r="R117" i="46" s="1"/>
  <c r="I117" i="46"/>
  <c r="Q116" i="46"/>
  <c r="K116" i="46"/>
  <c r="I116" i="46"/>
  <c r="Q115" i="46"/>
  <c r="K115" i="46"/>
  <c r="I115" i="46"/>
  <c r="Q114" i="46"/>
  <c r="K114" i="46"/>
  <c r="R114" i="46" s="1"/>
  <c r="I114" i="46"/>
  <c r="Q113" i="46"/>
  <c r="K113" i="46"/>
  <c r="R113" i="46" s="1"/>
  <c r="I113" i="46"/>
  <c r="Q112" i="46"/>
  <c r="K112" i="46"/>
  <c r="I112" i="46"/>
  <c r="Q111" i="46"/>
  <c r="K111" i="46"/>
  <c r="I111" i="46"/>
  <c r="Q110" i="46"/>
  <c r="K110" i="46"/>
  <c r="R110" i="46" s="1"/>
  <c r="I110" i="46"/>
  <c r="Q109" i="46"/>
  <c r="K109" i="46"/>
  <c r="R109" i="46" s="1"/>
  <c r="I109" i="46"/>
  <c r="Q108" i="46"/>
  <c r="K108" i="46"/>
  <c r="I108" i="46"/>
  <c r="Q107" i="46"/>
  <c r="K107" i="46"/>
  <c r="I107" i="46"/>
  <c r="Q106" i="46"/>
  <c r="K106" i="46"/>
  <c r="R106" i="46" s="1"/>
  <c r="I106" i="46"/>
  <c r="Q105" i="46"/>
  <c r="K105" i="46"/>
  <c r="R105" i="46" s="1"/>
  <c r="I105" i="46"/>
  <c r="Q104" i="46"/>
  <c r="K104" i="46"/>
  <c r="R104" i="46" s="1"/>
  <c r="I104" i="46"/>
  <c r="Q103" i="46"/>
  <c r="K103" i="46"/>
  <c r="I103" i="46"/>
  <c r="Q102" i="46"/>
  <c r="K102" i="46"/>
  <c r="L102" i="46" s="1"/>
  <c r="I102" i="46"/>
  <c r="Q101" i="46"/>
  <c r="K101" i="46"/>
  <c r="R101" i="46" s="1"/>
  <c r="I101" i="46"/>
  <c r="Q100" i="46"/>
  <c r="K100" i="46"/>
  <c r="R100" i="46" s="1"/>
  <c r="I100" i="46"/>
  <c r="Q99" i="46"/>
  <c r="K99" i="46"/>
  <c r="I99" i="46"/>
  <c r="Q98" i="46"/>
  <c r="K98" i="46"/>
  <c r="L98" i="46" s="1"/>
  <c r="I98" i="46"/>
  <c r="Q97" i="46"/>
  <c r="K97" i="46"/>
  <c r="R97" i="46" s="1"/>
  <c r="I97" i="46"/>
  <c r="Q96" i="46"/>
  <c r="K96" i="46"/>
  <c r="R96" i="46" s="1"/>
  <c r="I96" i="46"/>
  <c r="Q95" i="46"/>
  <c r="K95" i="46"/>
  <c r="I95" i="46"/>
  <c r="Q94" i="46"/>
  <c r="K94" i="46"/>
  <c r="L94" i="46" s="1"/>
  <c r="I94" i="46"/>
  <c r="Q93" i="46"/>
  <c r="K93" i="46"/>
  <c r="R93" i="46" s="1"/>
  <c r="I93" i="46"/>
  <c r="Q92" i="46"/>
  <c r="K92" i="46"/>
  <c r="R92" i="46" s="1"/>
  <c r="I92" i="46"/>
  <c r="Q91" i="46"/>
  <c r="K91" i="46"/>
  <c r="I91" i="46"/>
  <c r="Q90" i="46"/>
  <c r="K90" i="46"/>
  <c r="L90" i="46" s="1"/>
  <c r="I90" i="46"/>
  <c r="Q89" i="46"/>
  <c r="K89" i="46"/>
  <c r="R89" i="46" s="1"/>
  <c r="I89" i="46"/>
  <c r="Q88" i="46"/>
  <c r="K88" i="46"/>
  <c r="R88" i="46" s="1"/>
  <c r="I88" i="46"/>
  <c r="Q87" i="46"/>
  <c r="K87" i="46"/>
  <c r="I87" i="46"/>
  <c r="Q86" i="46"/>
  <c r="K86" i="46"/>
  <c r="L86" i="46" s="1"/>
  <c r="I86" i="46"/>
  <c r="Q85" i="46"/>
  <c r="K85" i="46"/>
  <c r="R85" i="46" s="1"/>
  <c r="I85" i="46"/>
  <c r="Q84" i="46"/>
  <c r="K84" i="46"/>
  <c r="R84" i="46" s="1"/>
  <c r="I84" i="46"/>
  <c r="Q83" i="46"/>
  <c r="K83" i="46"/>
  <c r="R83" i="46" s="1"/>
  <c r="I83" i="46"/>
  <c r="Q82" i="46"/>
  <c r="K82" i="46"/>
  <c r="L82" i="46" s="1"/>
  <c r="I82" i="46"/>
  <c r="Q81" i="46"/>
  <c r="K81" i="46"/>
  <c r="I81" i="46"/>
  <c r="Q80" i="46"/>
  <c r="K80" i="46"/>
  <c r="R80" i="46" s="1"/>
  <c r="I80" i="46"/>
  <c r="Q79" i="46"/>
  <c r="K79" i="46"/>
  <c r="R79" i="46" s="1"/>
  <c r="I79" i="46"/>
  <c r="Q78" i="46"/>
  <c r="K78" i="46"/>
  <c r="L78" i="46" s="1"/>
  <c r="I78" i="46"/>
  <c r="Q77" i="46"/>
  <c r="K77" i="46"/>
  <c r="I77" i="46"/>
  <c r="Q76" i="46"/>
  <c r="K76" i="46"/>
  <c r="R76" i="46" s="1"/>
  <c r="I76" i="46"/>
  <c r="Q75" i="46"/>
  <c r="K75" i="46"/>
  <c r="R75" i="46" s="1"/>
  <c r="I75" i="46"/>
  <c r="Q74" i="46"/>
  <c r="K74" i="46"/>
  <c r="L74" i="46" s="1"/>
  <c r="I74" i="46"/>
  <c r="Q73" i="46"/>
  <c r="K73" i="46"/>
  <c r="I73" i="46"/>
  <c r="Q72" i="46"/>
  <c r="K72" i="46"/>
  <c r="R72" i="46" s="1"/>
  <c r="I72" i="46"/>
  <c r="Q71" i="46"/>
  <c r="K71" i="46"/>
  <c r="I71" i="46"/>
  <c r="Q70" i="46"/>
  <c r="K70" i="46"/>
  <c r="R70" i="46" s="1"/>
  <c r="I70" i="46"/>
  <c r="Q69" i="46"/>
  <c r="K69" i="46"/>
  <c r="I69" i="46"/>
  <c r="Q68" i="46"/>
  <c r="K68" i="46"/>
  <c r="R68" i="46" s="1"/>
  <c r="I68" i="46"/>
  <c r="Q67" i="46"/>
  <c r="K67" i="46"/>
  <c r="I67" i="46"/>
  <c r="Q66" i="46"/>
  <c r="K66" i="46"/>
  <c r="L66" i="46" s="1"/>
  <c r="I66" i="46"/>
  <c r="Q65" i="46"/>
  <c r="K65" i="46"/>
  <c r="I65" i="46"/>
  <c r="Q64" i="46"/>
  <c r="K64" i="46"/>
  <c r="R64" i="46" s="1"/>
  <c r="I64" i="46"/>
  <c r="Q63" i="46"/>
  <c r="K63" i="46"/>
  <c r="I63" i="46"/>
  <c r="Q62" i="46"/>
  <c r="K62" i="46"/>
  <c r="L62" i="46" s="1"/>
  <c r="I62" i="46"/>
  <c r="Q61" i="46"/>
  <c r="K61" i="46"/>
  <c r="I61" i="46"/>
  <c r="Q60" i="46"/>
  <c r="K60" i="46"/>
  <c r="R60" i="46" s="1"/>
  <c r="I60" i="46"/>
  <c r="Q59" i="46"/>
  <c r="K59" i="46"/>
  <c r="R59" i="46" s="1"/>
  <c r="I59" i="46"/>
  <c r="Q58" i="46"/>
  <c r="K58" i="46"/>
  <c r="L58" i="46" s="1"/>
  <c r="I58" i="46"/>
  <c r="Q57" i="46"/>
  <c r="K57" i="46"/>
  <c r="R57" i="46" s="1"/>
  <c r="I57" i="46"/>
  <c r="Q56" i="46"/>
  <c r="K56" i="46"/>
  <c r="R56" i="46" s="1"/>
  <c r="I56" i="46"/>
  <c r="Q55" i="46"/>
  <c r="K55" i="46"/>
  <c r="R55" i="46" s="1"/>
  <c r="I55" i="46"/>
  <c r="Q54" i="46"/>
  <c r="K54" i="46"/>
  <c r="R54" i="46" s="1"/>
  <c r="I54" i="46"/>
  <c r="Q53" i="46"/>
  <c r="K53" i="46"/>
  <c r="R53" i="46" s="1"/>
  <c r="I53" i="46"/>
  <c r="Q52" i="46"/>
  <c r="K52" i="46"/>
  <c r="R52" i="46" s="1"/>
  <c r="I52" i="46"/>
  <c r="Q51" i="46"/>
  <c r="K51" i="46"/>
  <c r="I51" i="46"/>
  <c r="Q50" i="46"/>
  <c r="K50" i="46"/>
  <c r="L50" i="46" s="1"/>
  <c r="I50" i="46"/>
  <c r="Q49" i="46"/>
  <c r="K49" i="46"/>
  <c r="R49" i="46" s="1"/>
  <c r="I49" i="46"/>
  <c r="Q48" i="46"/>
  <c r="K48" i="46"/>
  <c r="R48" i="46" s="1"/>
  <c r="I48" i="46"/>
  <c r="Q47" i="46"/>
  <c r="K47" i="46"/>
  <c r="I47" i="46"/>
  <c r="Q46" i="46"/>
  <c r="K46" i="46"/>
  <c r="L46" i="46" s="1"/>
  <c r="I46" i="46"/>
  <c r="Q45" i="46"/>
  <c r="K45" i="46"/>
  <c r="I45" i="46"/>
  <c r="Q44" i="46"/>
  <c r="J44" i="46"/>
  <c r="K44" i="46" s="1"/>
  <c r="R44" i="46" s="1"/>
  <c r="I44" i="46"/>
  <c r="Q43" i="46"/>
  <c r="J43" i="46"/>
  <c r="K43" i="46" s="1"/>
  <c r="I43" i="46"/>
  <c r="Q42" i="46"/>
  <c r="J42" i="46"/>
  <c r="K42" i="46" s="1"/>
  <c r="R42" i="46" s="1"/>
  <c r="I42" i="46"/>
  <c r="Q41" i="46"/>
  <c r="J41" i="46"/>
  <c r="K41" i="46" s="1"/>
  <c r="I41" i="46"/>
  <c r="Q40" i="46"/>
  <c r="J40" i="46"/>
  <c r="K40" i="46" s="1"/>
  <c r="R40" i="46" s="1"/>
  <c r="I40" i="46"/>
  <c r="Q39" i="46"/>
  <c r="J39" i="46"/>
  <c r="K39" i="46" s="1"/>
  <c r="I39" i="46"/>
  <c r="Q38" i="46"/>
  <c r="J38" i="46"/>
  <c r="K38" i="46" s="1"/>
  <c r="R38" i="46" s="1"/>
  <c r="I38" i="46"/>
  <c r="Q37" i="46"/>
  <c r="J37" i="46"/>
  <c r="K37" i="46" s="1"/>
  <c r="R37" i="46" s="1"/>
  <c r="I37" i="46"/>
  <c r="Q36" i="46"/>
  <c r="J36" i="46"/>
  <c r="K36" i="46" s="1"/>
  <c r="R36" i="46" s="1"/>
  <c r="I36" i="46"/>
  <c r="Q35" i="46"/>
  <c r="J35" i="46"/>
  <c r="K35" i="46" s="1"/>
  <c r="I35" i="46"/>
  <c r="Q34" i="46"/>
  <c r="J34" i="46"/>
  <c r="K34" i="46" s="1"/>
  <c r="R34" i="46" s="1"/>
  <c r="I34" i="46"/>
  <c r="Q33" i="46"/>
  <c r="J33" i="46"/>
  <c r="K33" i="46" s="1"/>
  <c r="R33" i="46" s="1"/>
  <c r="I33" i="46"/>
  <c r="Q32" i="46"/>
  <c r="J32" i="46"/>
  <c r="K32" i="46" s="1"/>
  <c r="R32" i="46" s="1"/>
  <c r="I32" i="46"/>
  <c r="Q31" i="46"/>
  <c r="J31" i="46"/>
  <c r="K31" i="46" s="1"/>
  <c r="I31" i="46"/>
  <c r="Q30" i="46"/>
  <c r="J30" i="46"/>
  <c r="K30" i="46" s="1"/>
  <c r="R30" i="46" s="1"/>
  <c r="I30" i="46"/>
  <c r="Q29" i="46"/>
  <c r="J29" i="46"/>
  <c r="K29" i="46" s="1"/>
  <c r="I29" i="46"/>
  <c r="Q28" i="46"/>
  <c r="J28" i="46"/>
  <c r="K28" i="46" s="1"/>
  <c r="R28" i="46" s="1"/>
  <c r="I28" i="46"/>
  <c r="Q27" i="46"/>
  <c r="J27" i="46"/>
  <c r="K27" i="46" s="1"/>
  <c r="I27" i="46"/>
  <c r="Q26" i="46"/>
  <c r="J26" i="46"/>
  <c r="K26" i="46" s="1"/>
  <c r="R26" i="46" s="1"/>
  <c r="I26" i="46"/>
  <c r="Q25" i="46"/>
  <c r="J25" i="46"/>
  <c r="K25" i="46" s="1"/>
  <c r="I25" i="46"/>
  <c r="Q24" i="46"/>
  <c r="J24" i="46"/>
  <c r="K24" i="46" s="1"/>
  <c r="R24" i="46" s="1"/>
  <c r="I24" i="46"/>
  <c r="Q23" i="46"/>
  <c r="J23" i="46"/>
  <c r="K23" i="46" s="1"/>
  <c r="I23" i="46"/>
  <c r="Q22" i="46"/>
  <c r="K22" i="46"/>
  <c r="R22" i="46" s="1"/>
  <c r="I22" i="46"/>
  <c r="Q21" i="46"/>
  <c r="K21" i="46"/>
  <c r="R21" i="46" s="1"/>
  <c r="I21" i="46"/>
  <c r="Q20" i="46"/>
  <c r="K20" i="46"/>
  <c r="R20" i="46" s="1"/>
  <c r="I20" i="46"/>
  <c r="Q19" i="46"/>
  <c r="K19" i="46"/>
  <c r="R19" i="46" s="1"/>
  <c r="I19" i="46"/>
  <c r="Q18" i="46"/>
  <c r="K18" i="46"/>
  <c r="R18" i="46" s="1"/>
  <c r="I18" i="46"/>
  <c r="Q17" i="46"/>
  <c r="K17" i="46"/>
  <c r="R17" i="46" s="1"/>
  <c r="I17" i="46"/>
  <c r="Q16" i="46"/>
  <c r="K16" i="46"/>
  <c r="I16" i="46"/>
  <c r="Q15" i="46"/>
  <c r="K15" i="46"/>
  <c r="R15" i="46" s="1"/>
  <c r="I15" i="46"/>
  <c r="Q14" i="46"/>
  <c r="K14" i="46"/>
  <c r="R14" i="46" s="1"/>
  <c r="I14" i="46"/>
  <c r="Q13" i="46"/>
  <c r="K13" i="46"/>
  <c r="R13" i="46" s="1"/>
  <c r="I13" i="46"/>
  <c r="Q12" i="46"/>
  <c r="K12" i="46"/>
  <c r="R12" i="46" s="1"/>
  <c r="I12" i="46"/>
  <c r="Q11" i="46"/>
  <c r="K11" i="46"/>
  <c r="R11" i="46" s="1"/>
  <c r="I11" i="46"/>
  <c r="Q10" i="46"/>
  <c r="K10" i="46"/>
  <c r="R10" i="46" s="1"/>
  <c r="I10" i="46"/>
  <c r="Q9" i="46"/>
  <c r="K9" i="46"/>
  <c r="R9" i="46" s="1"/>
  <c r="I9" i="46"/>
  <c r="Q8" i="46"/>
  <c r="K8" i="46"/>
  <c r="R8" i="46" s="1"/>
  <c r="I8" i="46"/>
  <c r="Q7" i="46"/>
  <c r="K7" i="46"/>
  <c r="I7" i="46"/>
  <c r="Q6" i="46"/>
  <c r="K6" i="46"/>
  <c r="R6" i="46" s="1"/>
  <c r="I6" i="46"/>
  <c r="Q5" i="46"/>
  <c r="K5" i="46"/>
  <c r="R5" i="46" s="1"/>
  <c r="I5" i="46"/>
  <c r="Q4" i="46"/>
  <c r="K4" i="46"/>
  <c r="R4" i="46" s="1"/>
  <c r="I4" i="46"/>
  <c r="Q3" i="46"/>
  <c r="K3" i="46"/>
  <c r="I3" i="46"/>
  <c r="Q2" i="46"/>
  <c r="K2" i="46"/>
  <c r="R2" i="46" s="1"/>
  <c r="I2" i="46"/>
  <c r="H23" i="4" l="1"/>
  <c r="H129" i="48"/>
  <c r="H132" i="48" s="1"/>
  <c r="L83" i="46"/>
  <c r="I17" i="4"/>
  <c r="I22" i="4"/>
  <c r="R50" i="46"/>
  <c r="L25" i="46"/>
  <c r="R25" i="46"/>
  <c r="L41" i="46"/>
  <c r="R41" i="46"/>
  <c r="L45" i="46"/>
  <c r="R45" i="46"/>
  <c r="L61" i="46"/>
  <c r="R61" i="46"/>
  <c r="L65" i="46"/>
  <c r="R65" i="46"/>
  <c r="L69" i="46"/>
  <c r="R69" i="46"/>
  <c r="L77" i="46"/>
  <c r="R77" i="46"/>
  <c r="R158" i="46"/>
  <c r="R94" i="46"/>
  <c r="R78" i="46"/>
  <c r="R62" i="46"/>
  <c r="R46" i="46"/>
  <c r="R98" i="46"/>
  <c r="R66" i="46"/>
  <c r="L73" i="46"/>
  <c r="R73" i="46"/>
  <c r="L16" i="46"/>
  <c r="R16" i="46"/>
  <c r="L108" i="46"/>
  <c r="R108" i="46"/>
  <c r="L112" i="46"/>
  <c r="R112" i="46"/>
  <c r="L116" i="46"/>
  <c r="R116" i="46"/>
  <c r="L120" i="46"/>
  <c r="R120" i="46"/>
  <c r="L124" i="46"/>
  <c r="R124" i="46"/>
  <c r="L128" i="46"/>
  <c r="R128" i="46"/>
  <c r="L132" i="46"/>
  <c r="R132" i="46"/>
  <c r="L136" i="46"/>
  <c r="R136" i="46"/>
  <c r="L140" i="46"/>
  <c r="R140" i="46"/>
  <c r="L144" i="46"/>
  <c r="R144" i="46"/>
  <c r="L148" i="46"/>
  <c r="R148" i="46"/>
  <c r="L152" i="46"/>
  <c r="R152" i="46"/>
  <c r="L196" i="46"/>
  <c r="R196" i="46"/>
  <c r="L208" i="46"/>
  <c r="R208" i="46"/>
  <c r="L212" i="46"/>
  <c r="R212" i="46"/>
  <c r="L224" i="46"/>
  <c r="R224" i="46"/>
  <c r="L228" i="46"/>
  <c r="R228" i="46"/>
  <c r="L232" i="46"/>
  <c r="R232" i="46"/>
  <c r="L236" i="46"/>
  <c r="R236" i="46"/>
  <c r="L240" i="46"/>
  <c r="R240" i="46"/>
  <c r="L244" i="46"/>
  <c r="R244" i="46"/>
  <c r="L248" i="46"/>
  <c r="R248" i="46"/>
  <c r="L252" i="46"/>
  <c r="R252" i="46"/>
  <c r="L256" i="46"/>
  <c r="R256" i="46"/>
  <c r="L260" i="46"/>
  <c r="R260" i="46"/>
  <c r="L264" i="46"/>
  <c r="R264" i="46"/>
  <c r="L268" i="46"/>
  <c r="R268" i="46"/>
  <c r="L272" i="46"/>
  <c r="R272" i="46"/>
  <c r="L276" i="46"/>
  <c r="R276" i="46"/>
  <c r="L280" i="46"/>
  <c r="R280" i="46"/>
  <c r="L284" i="46"/>
  <c r="R284" i="46"/>
  <c r="L288" i="46"/>
  <c r="R288" i="46"/>
  <c r="L292" i="46"/>
  <c r="R292" i="46"/>
  <c r="L296" i="46"/>
  <c r="R296" i="46"/>
  <c r="L300" i="46"/>
  <c r="R300" i="46"/>
  <c r="L304" i="46"/>
  <c r="R304" i="46"/>
  <c r="L308" i="46"/>
  <c r="R308" i="46"/>
  <c r="L312" i="46"/>
  <c r="R312" i="46"/>
  <c r="L316" i="46"/>
  <c r="R316" i="46"/>
  <c r="R321" i="46"/>
  <c r="R90" i="46"/>
  <c r="R74" i="46"/>
  <c r="R58" i="46"/>
  <c r="R82" i="46"/>
  <c r="L29" i="46"/>
  <c r="R29" i="46"/>
  <c r="L81" i="46"/>
  <c r="R81" i="46"/>
  <c r="L3" i="46"/>
  <c r="R3" i="46"/>
  <c r="L7" i="46"/>
  <c r="R7" i="46"/>
  <c r="L23" i="46"/>
  <c r="R23" i="46"/>
  <c r="L27" i="46"/>
  <c r="R27" i="46"/>
  <c r="L31" i="46"/>
  <c r="R31" i="46"/>
  <c r="L35" i="46"/>
  <c r="R35" i="46"/>
  <c r="L39" i="46"/>
  <c r="R39" i="46"/>
  <c r="L43" i="46"/>
  <c r="R43" i="46"/>
  <c r="L47" i="46"/>
  <c r="R47" i="46"/>
  <c r="L51" i="46"/>
  <c r="R51" i="46"/>
  <c r="L63" i="46"/>
  <c r="R63" i="46"/>
  <c r="L67" i="46"/>
  <c r="R67" i="46"/>
  <c r="L71" i="46"/>
  <c r="R71" i="46"/>
  <c r="L87" i="46"/>
  <c r="R87" i="46"/>
  <c r="L91" i="46"/>
  <c r="R91" i="46"/>
  <c r="L95" i="46"/>
  <c r="R95" i="46"/>
  <c r="L99" i="46"/>
  <c r="R99" i="46"/>
  <c r="L103" i="46"/>
  <c r="R103" i="46"/>
  <c r="L107" i="46"/>
  <c r="R107" i="46"/>
  <c r="L111" i="46"/>
  <c r="R111" i="46"/>
  <c r="L115" i="46"/>
  <c r="R115" i="46"/>
  <c r="L119" i="46"/>
  <c r="R119" i="46"/>
  <c r="L123" i="46"/>
  <c r="R123" i="46"/>
  <c r="L127" i="46"/>
  <c r="R127" i="46"/>
  <c r="L131" i="46"/>
  <c r="R131" i="46"/>
  <c r="L135" i="46"/>
  <c r="R135" i="46"/>
  <c r="L139" i="46"/>
  <c r="R139" i="46"/>
  <c r="L143" i="46"/>
  <c r="R143" i="46"/>
  <c r="L147" i="46"/>
  <c r="R147" i="46"/>
  <c r="L151" i="46"/>
  <c r="R151" i="46"/>
  <c r="L159" i="46"/>
  <c r="R159" i="46"/>
  <c r="L199" i="46"/>
  <c r="R199" i="46"/>
  <c r="L203" i="46"/>
  <c r="R203" i="46"/>
  <c r="L207" i="46"/>
  <c r="R207" i="46"/>
  <c r="L211" i="46"/>
  <c r="R211" i="46"/>
  <c r="L215" i="46"/>
  <c r="R215" i="46"/>
  <c r="L219" i="46"/>
  <c r="R219" i="46"/>
  <c r="L223" i="46"/>
  <c r="R223" i="46"/>
  <c r="L227" i="46"/>
  <c r="R227" i="46"/>
  <c r="L231" i="46"/>
  <c r="R231" i="46"/>
  <c r="L235" i="46"/>
  <c r="R235" i="46"/>
  <c r="L239" i="46"/>
  <c r="R239" i="46"/>
  <c r="L243" i="46"/>
  <c r="R243" i="46"/>
  <c r="L247" i="46"/>
  <c r="R247" i="46"/>
  <c r="L251" i="46"/>
  <c r="R251" i="46"/>
  <c r="L255" i="46"/>
  <c r="R255" i="46"/>
  <c r="L259" i="46"/>
  <c r="R259" i="46"/>
  <c r="L263" i="46"/>
  <c r="R263" i="46"/>
  <c r="L267" i="46"/>
  <c r="R267" i="46"/>
  <c r="L271" i="46"/>
  <c r="R271" i="46"/>
  <c r="L275" i="46"/>
  <c r="R275" i="46"/>
  <c r="L279" i="46"/>
  <c r="R279" i="46"/>
  <c r="L283" i="46"/>
  <c r="R283" i="46"/>
  <c r="L287" i="46"/>
  <c r="R287" i="46"/>
  <c r="L291" i="46"/>
  <c r="R291" i="46"/>
  <c r="L295" i="46"/>
  <c r="R295" i="46"/>
  <c r="L299" i="46"/>
  <c r="R299" i="46"/>
  <c r="L303" i="46"/>
  <c r="R303" i="46"/>
  <c r="L307" i="46"/>
  <c r="R307" i="46"/>
  <c r="L311" i="46"/>
  <c r="R311" i="46"/>
  <c r="L315" i="46"/>
  <c r="R315" i="46"/>
  <c r="R454" i="46"/>
  <c r="R442" i="46"/>
  <c r="R434" i="46"/>
  <c r="R426" i="46"/>
  <c r="R362" i="46"/>
  <c r="R358" i="46"/>
  <c r="R102" i="46"/>
  <c r="R86" i="46"/>
  <c r="L79" i="46"/>
  <c r="L184" i="46"/>
  <c r="L36" i="46"/>
  <c r="L48" i="46"/>
  <c r="L49" i="46"/>
  <c r="L72" i="46"/>
  <c r="L75" i="46"/>
  <c r="J484" i="46"/>
  <c r="L386" i="46"/>
  <c r="L160" i="46"/>
  <c r="L194" i="46"/>
  <c r="L285" i="46"/>
  <c r="L286" i="46"/>
  <c r="L64" i="46"/>
  <c r="L156" i="46"/>
  <c r="L164" i="46"/>
  <c r="L192" i="46"/>
  <c r="L233" i="46"/>
  <c r="L234" i="46"/>
  <c r="L309" i="46"/>
  <c r="L310" i="46"/>
  <c r="L363" i="46"/>
  <c r="L364" i="46"/>
  <c r="L390" i="46"/>
  <c r="L418" i="46"/>
  <c r="L438" i="46"/>
  <c r="L470" i="46"/>
  <c r="L172" i="46"/>
  <c r="L265" i="46"/>
  <c r="L266" i="46"/>
  <c r="L330" i="46"/>
  <c r="L359" i="46"/>
  <c r="L360" i="46"/>
  <c r="L398" i="46"/>
  <c r="L411" i="46"/>
  <c r="L412" i="46"/>
  <c r="L422" i="46"/>
  <c r="L446" i="46"/>
  <c r="L176" i="46"/>
  <c r="L253" i="46"/>
  <c r="L254" i="46"/>
  <c r="L297" i="46"/>
  <c r="L298" i="46"/>
  <c r="L430" i="46"/>
  <c r="L26" i="46"/>
  <c r="L52" i="46"/>
  <c r="L53" i="46"/>
  <c r="L84" i="46"/>
  <c r="L88" i="46"/>
  <c r="L92" i="46"/>
  <c r="L96" i="46"/>
  <c r="L100" i="46"/>
  <c r="L105" i="46"/>
  <c r="L109" i="46"/>
  <c r="L113" i="46"/>
  <c r="L117" i="46"/>
  <c r="L121" i="46"/>
  <c r="L125" i="46"/>
  <c r="L129" i="46"/>
  <c r="L133" i="46"/>
  <c r="L137" i="46"/>
  <c r="L141" i="46"/>
  <c r="L145" i="46"/>
  <c r="L149" i="46"/>
  <c r="L153" i="46"/>
  <c r="L154" i="46"/>
  <c r="L168" i="46"/>
  <c r="L180" i="46"/>
  <c r="L188" i="46"/>
  <c r="L206" i="46"/>
  <c r="L220" i="46"/>
  <c r="L241" i="46"/>
  <c r="L242" i="46"/>
  <c r="L273" i="46"/>
  <c r="L274" i="46"/>
  <c r="L305" i="46"/>
  <c r="L306" i="46"/>
  <c r="L462" i="46"/>
  <c r="L478" i="46"/>
  <c r="L59" i="46"/>
  <c r="L317" i="46"/>
  <c r="L318" i="46"/>
  <c r="L8" i="46"/>
  <c r="L40" i="46"/>
  <c r="L162" i="46"/>
  <c r="L166" i="46"/>
  <c r="L170" i="46"/>
  <c r="L174" i="46"/>
  <c r="L178" i="46"/>
  <c r="L182" i="46"/>
  <c r="L186" i="46"/>
  <c r="L189" i="46"/>
  <c r="L204" i="46"/>
  <c r="L218" i="46"/>
  <c r="L230" i="46"/>
  <c r="L261" i="46"/>
  <c r="L262" i="46"/>
  <c r="L294" i="46"/>
  <c r="L394" i="46"/>
  <c r="L396" i="46"/>
  <c r="L450" i="46"/>
  <c r="L458" i="46"/>
  <c r="L466" i="46"/>
  <c r="L482" i="46"/>
  <c r="L17" i="46"/>
  <c r="L24" i="46"/>
  <c r="L30" i="46"/>
  <c r="L202" i="46"/>
  <c r="L226" i="46"/>
  <c r="L237" i="46"/>
  <c r="L238" i="46"/>
  <c r="L249" i="46"/>
  <c r="L250" i="46"/>
  <c r="L257" i="46"/>
  <c r="L258" i="46"/>
  <c r="L269" i="46"/>
  <c r="L270" i="46"/>
  <c r="L281" i="46"/>
  <c r="L282" i="46"/>
  <c r="L289" i="46"/>
  <c r="L290" i="46"/>
  <c r="L301" i="46"/>
  <c r="L302" i="46"/>
  <c r="L313" i="46"/>
  <c r="L314" i="46"/>
  <c r="L346" i="46"/>
  <c r="L374" i="46"/>
  <c r="L382" i="46"/>
  <c r="L406" i="46"/>
  <c r="L414" i="46"/>
  <c r="L13" i="46"/>
  <c r="L80" i="46"/>
  <c r="L161" i="46"/>
  <c r="L165" i="46"/>
  <c r="L169" i="46"/>
  <c r="L173" i="46"/>
  <c r="L177" i="46"/>
  <c r="L181" i="46"/>
  <c r="L185" i="46"/>
  <c r="L190" i="46"/>
  <c r="L229" i="46"/>
  <c r="L293" i="46"/>
  <c r="L322" i="46"/>
  <c r="L323" i="46"/>
  <c r="L324" i="46"/>
  <c r="L334" i="46"/>
  <c r="L395" i="46"/>
  <c r="L402" i="46"/>
  <c r="L474" i="46"/>
  <c r="L4" i="46"/>
  <c r="L34" i="46"/>
  <c r="L42" i="46"/>
  <c r="L55" i="46"/>
  <c r="L210" i="46"/>
  <c r="L222" i="46"/>
  <c r="L245" i="46"/>
  <c r="L246" i="46"/>
  <c r="L277" i="46"/>
  <c r="L278" i="46"/>
  <c r="L354" i="46"/>
  <c r="L378" i="46"/>
  <c r="L379" i="46"/>
  <c r="L380" i="46"/>
  <c r="L410" i="46"/>
  <c r="L22" i="46"/>
  <c r="L57" i="46"/>
  <c r="L70" i="46"/>
  <c r="L216" i="46"/>
  <c r="L332" i="46"/>
  <c r="L338" i="46"/>
  <c r="L343" i="46"/>
  <c r="L348" i="46"/>
  <c r="L367" i="46"/>
  <c r="L375" i="46"/>
  <c r="L391" i="46"/>
  <c r="L407" i="46"/>
  <c r="L447" i="46"/>
  <c r="L448" i="46"/>
  <c r="L451" i="46"/>
  <c r="L452" i="46"/>
  <c r="L455" i="46"/>
  <c r="L456" i="46"/>
  <c r="L459" i="46"/>
  <c r="L460" i="46"/>
  <c r="L463" i="46"/>
  <c r="L464" i="46"/>
  <c r="L467" i="46"/>
  <c r="L468" i="46"/>
  <c r="L471" i="46"/>
  <c r="L472" i="46"/>
  <c r="L475" i="46"/>
  <c r="L483" i="46"/>
  <c r="L11" i="46"/>
  <c r="L37" i="46"/>
  <c r="L368" i="46"/>
  <c r="L476" i="46"/>
  <c r="L15" i="46"/>
  <c r="L20" i="46"/>
  <c r="L21" i="46"/>
  <c r="L200" i="46"/>
  <c r="L327" i="46"/>
  <c r="L376" i="46"/>
  <c r="L392" i="46"/>
  <c r="L408" i="46"/>
  <c r="L14" i="46"/>
  <c r="L19" i="46"/>
  <c r="L32" i="46"/>
  <c r="L33" i="46"/>
  <c r="L56" i="46"/>
  <c r="L198" i="46"/>
  <c r="L214" i="46"/>
  <c r="L325" i="46"/>
  <c r="L326" i="46"/>
  <c r="L331" i="46"/>
  <c r="L336" i="46"/>
  <c r="L342" i="46"/>
  <c r="L347" i="46"/>
  <c r="L355" i="46"/>
  <c r="L356" i="46"/>
  <c r="L366" i="46"/>
  <c r="L370" i="46"/>
  <c r="L371" i="46"/>
  <c r="L372" i="46"/>
  <c r="L387" i="46"/>
  <c r="L388" i="46"/>
  <c r="L403" i="46"/>
  <c r="L404" i="46"/>
  <c r="L419" i="46"/>
  <c r="L420" i="46"/>
  <c r="L423" i="46"/>
  <c r="L424" i="46"/>
  <c r="L427" i="46"/>
  <c r="L428" i="46"/>
  <c r="L431" i="46"/>
  <c r="L432" i="46"/>
  <c r="L435" i="46"/>
  <c r="L436" i="46"/>
  <c r="L439" i="46"/>
  <c r="L440" i="46"/>
  <c r="L443" i="46"/>
  <c r="L444" i="46"/>
  <c r="L480" i="46"/>
  <c r="L38" i="46"/>
  <c r="L339" i="46"/>
  <c r="L344" i="46"/>
  <c r="L6" i="46"/>
  <c r="L12" i="46"/>
  <c r="L28" i="46"/>
  <c r="L44" i="46"/>
  <c r="L54" i="46"/>
  <c r="L60" i="46"/>
  <c r="L329" i="46"/>
  <c r="L335" i="46"/>
  <c r="L340" i="46"/>
  <c r="L350" i="46"/>
  <c r="L351" i="46"/>
  <c r="L352" i="46"/>
  <c r="L383" i="46"/>
  <c r="L384" i="46"/>
  <c r="L399" i="46"/>
  <c r="L400" i="46"/>
  <c r="L415" i="46"/>
  <c r="L416" i="46"/>
  <c r="L479" i="46"/>
  <c r="K484" i="46"/>
  <c r="R484" i="46" s="1"/>
  <c r="L5" i="46"/>
  <c r="L9" i="46"/>
  <c r="L68" i="46"/>
  <c r="L2" i="46"/>
  <c r="L10" i="46"/>
  <c r="L18" i="46"/>
  <c r="Q484" i="46"/>
  <c r="L76" i="46"/>
  <c r="L85" i="46"/>
  <c r="L89" i="46"/>
  <c r="L93" i="46"/>
  <c r="L97" i="46"/>
  <c r="L101" i="46"/>
  <c r="L106" i="46"/>
  <c r="L110" i="46"/>
  <c r="L114" i="46"/>
  <c r="L118" i="46"/>
  <c r="L122" i="46"/>
  <c r="L126" i="46"/>
  <c r="L130" i="46"/>
  <c r="L134" i="46"/>
  <c r="L138" i="46"/>
  <c r="L142" i="46"/>
  <c r="L146" i="46"/>
  <c r="L150" i="46"/>
  <c r="L155" i="46"/>
  <c r="L157" i="46"/>
  <c r="L195" i="46"/>
  <c r="L163" i="46"/>
  <c r="L167" i="46"/>
  <c r="L171" i="46"/>
  <c r="L175" i="46"/>
  <c r="L179" i="46"/>
  <c r="L183" i="46"/>
  <c r="L187" i="46"/>
  <c r="L191" i="46"/>
  <c r="L193" i="46"/>
  <c r="L197" i="46"/>
  <c r="L201" i="46"/>
  <c r="L205" i="46"/>
  <c r="L209" i="46"/>
  <c r="L213" i="46"/>
  <c r="L217" i="46"/>
  <c r="L221" i="46"/>
  <c r="L225" i="46"/>
  <c r="L328" i="46"/>
  <c r="L333" i="46"/>
  <c r="L337" i="46"/>
  <c r="L341" i="46"/>
  <c r="L345" i="46"/>
  <c r="L349" i="46"/>
  <c r="L369" i="46"/>
  <c r="L365" i="46"/>
  <c r="L319" i="46"/>
  <c r="L320" i="46"/>
  <c r="L361" i="46"/>
  <c r="L353" i="46"/>
  <c r="L357" i="46"/>
  <c r="L373" i="46"/>
  <c r="L377" i="46"/>
  <c r="L381" i="46"/>
  <c r="L385" i="46"/>
  <c r="L389" i="46"/>
  <c r="L393" i="46"/>
  <c r="L397" i="46"/>
  <c r="L401" i="46"/>
  <c r="L405" i="46"/>
  <c r="L409" i="46"/>
  <c r="L413" i="46"/>
  <c r="L417" i="46"/>
  <c r="L421" i="46"/>
  <c r="L425" i="46"/>
  <c r="L429" i="46"/>
  <c r="L433" i="46"/>
  <c r="L437" i="46"/>
  <c r="L441" i="46"/>
  <c r="L445" i="46"/>
  <c r="L449" i="46"/>
  <c r="L453" i="46"/>
  <c r="L457" i="46"/>
  <c r="L461" i="46"/>
  <c r="L465" i="46"/>
  <c r="L469" i="46"/>
  <c r="L473" i="46"/>
  <c r="L477" i="46"/>
  <c r="L481" i="46"/>
  <c r="L484" i="46" l="1"/>
  <c r="J38" i="34"/>
  <c r="F35" i="34"/>
  <c r="G35" i="34"/>
  <c r="H7" i="34"/>
  <c r="H14" i="34"/>
  <c r="H34" i="34"/>
  <c r="I34" i="34" s="1"/>
  <c r="J34" i="34" s="1"/>
  <c r="H15" i="34"/>
  <c r="H16" i="34"/>
  <c r="H17" i="34"/>
  <c r="H18" i="34"/>
  <c r="H19" i="34"/>
  <c r="H20" i="34"/>
  <c r="H21" i="34"/>
  <c r="H22" i="34"/>
  <c r="H23" i="34"/>
  <c r="H24" i="34"/>
  <c r="H25" i="34"/>
  <c r="H26" i="34"/>
  <c r="H27" i="34"/>
  <c r="H28" i="34"/>
  <c r="H29" i="34"/>
  <c r="H30" i="34"/>
  <c r="H31" i="34"/>
  <c r="H32" i="34"/>
  <c r="H33" i="34"/>
  <c r="E28" i="34"/>
  <c r="E21" i="34"/>
  <c r="E14" i="34"/>
  <c r="D34" i="34"/>
  <c r="D33" i="34"/>
  <c r="D30" i="34"/>
  <c r="D31" i="34"/>
  <c r="D32" i="34"/>
  <c r="D29" i="34"/>
  <c r="D28" i="34"/>
  <c r="D22" i="34"/>
  <c r="D23" i="34"/>
  <c r="D24" i="34"/>
  <c r="D25" i="34"/>
  <c r="D26" i="34"/>
  <c r="D27" i="34"/>
  <c r="D21" i="34"/>
  <c r="D20" i="34"/>
  <c r="D19" i="34"/>
  <c r="D18" i="34"/>
  <c r="D17" i="34"/>
  <c r="D16" i="34"/>
  <c r="D15" i="34"/>
  <c r="D14" i="34"/>
  <c r="C33" i="34"/>
  <c r="C32" i="34"/>
  <c r="C31" i="34"/>
  <c r="C30" i="34"/>
  <c r="C29" i="34"/>
  <c r="C28" i="34"/>
  <c r="C24" i="34"/>
  <c r="C25" i="34"/>
  <c r="C26" i="34"/>
  <c r="C27" i="34"/>
  <c r="C23" i="34"/>
  <c r="C22" i="34"/>
  <c r="C21" i="34"/>
  <c r="C20" i="34"/>
  <c r="C19" i="34"/>
  <c r="C18" i="34"/>
  <c r="C17" i="34"/>
  <c r="C16" i="34"/>
  <c r="C15" i="34"/>
  <c r="C14" i="34"/>
  <c r="I8" i="34"/>
  <c r="J8" i="34" s="1"/>
  <c r="I12" i="34"/>
  <c r="J12" i="34" s="1"/>
  <c r="I13" i="34"/>
  <c r="J13" i="34" s="1"/>
  <c r="D35" i="34" l="1"/>
  <c r="E35" i="34"/>
  <c r="H35" i="34"/>
  <c r="I24" i="34"/>
  <c r="J24" i="34" s="1"/>
  <c r="I16" i="34"/>
  <c r="J16" i="34" s="1"/>
  <c r="I15" i="34"/>
  <c r="J15" i="34" s="1"/>
  <c r="I20" i="34"/>
  <c r="J20" i="34" s="1"/>
  <c r="I32" i="34"/>
  <c r="J32" i="34" s="1"/>
  <c r="I14" i="34"/>
  <c r="J14" i="34" s="1"/>
  <c r="I25" i="34"/>
  <c r="J25" i="34" s="1"/>
  <c r="I28" i="34"/>
  <c r="J28" i="34" s="1"/>
  <c r="I17" i="34"/>
  <c r="J17" i="34" s="1"/>
  <c r="I29" i="34"/>
  <c r="J29" i="34" s="1"/>
  <c r="I33" i="34"/>
  <c r="J33" i="34" s="1"/>
  <c r="I27" i="34"/>
  <c r="J27" i="34" s="1"/>
  <c r="I23" i="34"/>
  <c r="J23" i="34" s="1"/>
  <c r="I19" i="34"/>
  <c r="J19" i="34" s="1"/>
  <c r="I31" i="34"/>
  <c r="J31" i="34" s="1"/>
  <c r="I26" i="34"/>
  <c r="J26" i="34" s="1"/>
  <c r="I22" i="34"/>
  <c r="J22" i="34" s="1"/>
  <c r="I21" i="34"/>
  <c r="J21" i="34" s="1"/>
  <c r="I30" i="34"/>
  <c r="J30" i="34" s="1"/>
  <c r="I18" i="34"/>
  <c r="J18" i="34" s="1"/>
  <c r="I10" i="34" l="1"/>
  <c r="J10" i="34" s="1"/>
  <c r="I11" i="34"/>
  <c r="J11" i="34" s="1"/>
  <c r="K53" i="34"/>
  <c r="I7" i="34"/>
  <c r="D2" i="34"/>
  <c r="G5" i="4" s="1"/>
  <c r="C32" i="26"/>
  <c r="G23" i="4"/>
  <c r="E34" i="33"/>
  <c r="E39" i="33"/>
  <c r="D45" i="33"/>
  <c r="G19" i="33" s="1"/>
  <c r="D50" i="33"/>
  <c r="G20" i="33" s="1"/>
  <c r="E59" i="33"/>
  <c r="G59" i="33" s="1"/>
  <c r="G21" i="33" s="1"/>
  <c r="E60" i="33"/>
  <c r="G60" i="33" s="1"/>
  <c r="E61" i="33"/>
  <c r="G61" i="33" s="1"/>
  <c r="H61" i="33" s="1"/>
  <c r="I61" i="33" s="1"/>
  <c r="J61" i="33" s="1"/>
  <c r="K61" i="33" s="1"/>
  <c r="E49" i="33"/>
  <c r="F49" i="33" s="1"/>
  <c r="G49" i="33" s="1"/>
  <c r="H49" i="33" s="1"/>
  <c r="E44" i="33"/>
  <c r="F44" i="33" s="1"/>
  <c r="G44" i="33" s="1"/>
  <c r="H44" i="33" s="1"/>
  <c r="H18" i="33"/>
  <c r="H17" i="33"/>
  <c r="H16" i="33"/>
  <c r="H13" i="33"/>
  <c r="H12" i="33"/>
  <c r="H11" i="33"/>
  <c r="H10" i="33"/>
  <c r="H9" i="33"/>
  <c r="H8" i="33"/>
  <c r="B8" i="33"/>
  <c r="B9" i="33" s="1"/>
  <c r="B10" i="33" s="1"/>
  <c r="B11" i="33" s="1"/>
  <c r="B12" i="33" s="1"/>
  <c r="B13" i="33" s="1"/>
  <c r="B14" i="33" s="1"/>
  <c r="B15" i="33" s="1"/>
  <c r="B16" i="33" s="1"/>
  <c r="B17" i="33" s="1"/>
  <c r="B18" i="33" s="1"/>
  <c r="B19" i="33" s="1"/>
  <c r="B20" i="33" s="1"/>
  <c r="B21" i="33" s="1"/>
  <c r="B22" i="33" s="1"/>
  <c r="B23" i="33" s="1"/>
  <c r="H7" i="33"/>
  <c r="C31" i="26"/>
  <c r="C30" i="26"/>
  <c r="C15" i="26"/>
  <c r="C29" i="26" s="1"/>
  <c r="C21" i="26"/>
  <c r="C22" i="26" s="1"/>
  <c r="C18" i="26"/>
  <c r="C19" i="26" s="1"/>
  <c r="C23" i="26"/>
  <c r="C26" i="26" s="1"/>
  <c r="C27" i="26" s="1"/>
  <c r="C28" i="26" s="1"/>
  <c r="C24" i="26"/>
  <c r="C25" i="26" s="1"/>
  <c r="F4" i="26"/>
  <c r="F5" i="26"/>
  <c r="F6" i="26"/>
  <c r="F7" i="26"/>
  <c r="F3" i="26"/>
  <c r="E8" i="26"/>
  <c r="G2" i="4" s="1"/>
  <c r="F2" i="4" s="1"/>
  <c r="D2" i="4"/>
  <c r="D12" i="4" s="1"/>
  <c r="D37" i="4" s="1"/>
  <c r="E55" i="10"/>
  <c r="K55" i="10" s="1"/>
  <c r="D55" i="10"/>
  <c r="J55" i="10" s="1"/>
  <c r="C55" i="10"/>
  <c r="I55" i="10"/>
  <c r="E54" i="10"/>
  <c r="K54" i="10" s="1"/>
  <c r="D54" i="10"/>
  <c r="J54" i="10" s="1"/>
  <c r="C54" i="10"/>
  <c r="I54" i="10" s="1"/>
  <c r="D53" i="10"/>
  <c r="J53" i="10" s="1"/>
  <c r="C53" i="10"/>
  <c r="I53" i="10" s="1"/>
  <c r="E53" i="10"/>
  <c r="K53" i="10"/>
  <c r="E52" i="10"/>
  <c r="K52" i="10" s="1"/>
  <c r="D52" i="10"/>
  <c r="J52" i="10" s="1"/>
  <c r="C52" i="10"/>
  <c r="I52" i="10" s="1"/>
  <c r="M52" i="10" s="1"/>
  <c r="E51" i="10"/>
  <c r="K51" i="10" s="1"/>
  <c r="D51" i="10"/>
  <c r="J51" i="10" s="1"/>
  <c r="C51" i="10"/>
  <c r="I51" i="10" s="1"/>
  <c r="D50" i="10"/>
  <c r="J50" i="10" s="1"/>
  <c r="C50" i="10"/>
  <c r="I50" i="10" s="1"/>
  <c r="M50" i="10" s="1"/>
  <c r="E50" i="10"/>
  <c r="K50" i="10" s="1"/>
  <c r="C49" i="10"/>
  <c r="I49" i="10"/>
  <c r="D49" i="10"/>
  <c r="J49" i="10" s="1"/>
  <c r="E49" i="10"/>
  <c r="K49" i="10" s="1"/>
  <c r="E48" i="10"/>
  <c r="K48" i="10" s="1"/>
  <c r="D48" i="10"/>
  <c r="J48" i="10" s="1"/>
  <c r="C48" i="10"/>
  <c r="I48" i="10" s="1"/>
  <c r="E47" i="10"/>
  <c r="K47" i="10" s="1"/>
  <c r="D47" i="10"/>
  <c r="J47" i="10"/>
  <c r="C47" i="10"/>
  <c r="I47" i="10" s="1"/>
  <c r="E46" i="10"/>
  <c r="K46" i="10"/>
  <c r="D46" i="10"/>
  <c r="J46" i="10" s="1"/>
  <c r="C46" i="10"/>
  <c r="I46" i="10" s="1"/>
  <c r="D45" i="10"/>
  <c r="J45" i="10" s="1"/>
  <c r="C45" i="10"/>
  <c r="I45" i="10" s="1"/>
  <c r="E45" i="10"/>
  <c r="K45" i="10" s="1"/>
  <c r="E44" i="10"/>
  <c r="K44" i="10" s="1"/>
  <c r="D44" i="10"/>
  <c r="J44" i="10"/>
  <c r="C44" i="10"/>
  <c r="I44" i="10" s="1"/>
  <c r="E43" i="10"/>
  <c r="K43" i="10" s="1"/>
  <c r="D43" i="10"/>
  <c r="J43" i="10" s="1"/>
  <c r="C43" i="10"/>
  <c r="I43" i="10" s="1"/>
  <c r="D42" i="10"/>
  <c r="J42" i="10" s="1"/>
  <c r="E42" i="10"/>
  <c r="K42" i="10" s="1"/>
  <c r="C42" i="10"/>
  <c r="I42" i="10" s="1"/>
  <c r="D41" i="10"/>
  <c r="J41" i="10" s="1"/>
  <c r="C41" i="10"/>
  <c r="I41" i="10"/>
  <c r="E41" i="10"/>
  <c r="K41" i="10" s="1"/>
  <c r="C40" i="10"/>
  <c r="I40" i="10" s="1"/>
  <c r="E40" i="10"/>
  <c r="K40" i="10" s="1"/>
  <c r="D40" i="10"/>
  <c r="J40" i="10" s="1"/>
  <c r="E39" i="10"/>
  <c r="K39" i="10"/>
  <c r="D39" i="10"/>
  <c r="J39" i="10" s="1"/>
  <c r="C39" i="10"/>
  <c r="I39" i="10" s="1"/>
  <c r="D38" i="10"/>
  <c r="J38" i="10" s="1"/>
  <c r="E38" i="10"/>
  <c r="K38" i="10"/>
  <c r="C38" i="10"/>
  <c r="I38" i="10" s="1"/>
  <c r="D37" i="10"/>
  <c r="J37" i="10" s="1"/>
  <c r="C37" i="10"/>
  <c r="I37" i="10" s="1"/>
  <c r="E37" i="10"/>
  <c r="K37" i="10" s="1"/>
  <c r="E36" i="10"/>
  <c r="K36" i="10" s="1"/>
  <c r="C36" i="10"/>
  <c r="I36" i="10"/>
  <c r="D36" i="10"/>
  <c r="J36" i="10" s="1"/>
  <c r="E35" i="10"/>
  <c r="K35" i="10"/>
  <c r="D35" i="10"/>
  <c r="J35" i="10" s="1"/>
  <c r="C35" i="10"/>
  <c r="I35" i="10" s="1"/>
  <c r="E34" i="10"/>
  <c r="K34" i="10" s="1"/>
  <c r="D34" i="10"/>
  <c r="J34" i="10" s="1"/>
  <c r="C34" i="10"/>
  <c r="I34" i="10" s="1"/>
  <c r="C33" i="10"/>
  <c r="I33" i="10" s="1"/>
  <c r="D33" i="10"/>
  <c r="J33" i="10" s="1"/>
  <c r="E33" i="10"/>
  <c r="K33" i="10" s="1"/>
  <c r="C32" i="10"/>
  <c r="I32" i="10" s="1"/>
  <c r="E32" i="10"/>
  <c r="K32" i="10" s="1"/>
  <c r="D32" i="10"/>
  <c r="J32" i="10"/>
  <c r="E31" i="10"/>
  <c r="K31" i="10" s="1"/>
  <c r="I31" i="10"/>
  <c r="D31" i="10"/>
  <c r="J31" i="10" s="1"/>
  <c r="I30" i="10"/>
  <c r="E30" i="10"/>
  <c r="K30" i="10" s="1"/>
  <c r="D30" i="10"/>
  <c r="J30" i="10"/>
  <c r="E29" i="10"/>
  <c r="K29" i="10" s="1"/>
  <c r="I29" i="10"/>
  <c r="D29" i="10"/>
  <c r="J29" i="10"/>
  <c r="I28" i="10"/>
  <c r="M28" i="10" s="1"/>
  <c r="E28" i="10"/>
  <c r="K28" i="10" s="1"/>
  <c r="D28" i="10"/>
  <c r="J28" i="10" s="1"/>
  <c r="E27" i="10"/>
  <c r="K27" i="10" s="1"/>
  <c r="I27" i="10"/>
  <c r="D27" i="10"/>
  <c r="J27" i="10" s="1"/>
  <c r="I26" i="10"/>
  <c r="D26" i="10"/>
  <c r="J26" i="10" s="1"/>
  <c r="E26" i="10"/>
  <c r="K26" i="10" s="1"/>
  <c r="E25" i="10"/>
  <c r="K25" i="10"/>
  <c r="D25" i="10"/>
  <c r="J25" i="10"/>
  <c r="I25" i="10"/>
  <c r="I24" i="10"/>
  <c r="D24" i="10"/>
  <c r="J24" i="10"/>
  <c r="E24" i="10"/>
  <c r="K24" i="10"/>
  <c r="E23" i="10"/>
  <c r="K23" i="10" s="1"/>
  <c r="I23" i="10"/>
  <c r="D23" i="10"/>
  <c r="J23" i="10"/>
  <c r="I22" i="10"/>
  <c r="E22" i="10"/>
  <c r="K22" i="10" s="1"/>
  <c r="D22" i="10"/>
  <c r="J22" i="10" s="1"/>
  <c r="E21" i="10"/>
  <c r="K21" i="10"/>
  <c r="I21" i="10"/>
  <c r="D21" i="10"/>
  <c r="J21" i="10" s="1"/>
  <c r="I20" i="10"/>
  <c r="D20" i="10"/>
  <c r="J20" i="10" s="1"/>
  <c r="E20" i="10"/>
  <c r="K20" i="10" s="1"/>
  <c r="E19" i="10"/>
  <c r="K19" i="10" s="1"/>
  <c r="I19" i="10"/>
  <c r="D19" i="10"/>
  <c r="J19" i="10" s="1"/>
  <c r="I18" i="10"/>
  <c r="D18" i="10"/>
  <c r="J18" i="10" s="1"/>
  <c r="E18" i="10"/>
  <c r="K18" i="10" s="1"/>
  <c r="E17" i="10"/>
  <c r="K17" i="10" s="1"/>
  <c r="D17" i="10"/>
  <c r="J17" i="10" s="1"/>
  <c r="I17" i="10"/>
  <c r="I16" i="10"/>
  <c r="D16" i="10"/>
  <c r="J16" i="10" s="1"/>
  <c r="E16" i="10"/>
  <c r="K16" i="10" s="1"/>
  <c r="E15" i="10"/>
  <c r="K15" i="10" s="1"/>
  <c r="I15" i="10"/>
  <c r="D15" i="10"/>
  <c r="J15" i="10" s="1"/>
  <c r="I14" i="10"/>
  <c r="E14" i="10"/>
  <c r="K14" i="10" s="1"/>
  <c r="D14" i="10"/>
  <c r="J14" i="10" s="1"/>
  <c r="E13" i="10"/>
  <c r="K13" i="10" s="1"/>
  <c r="I13" i="10"/>
  <c r="D13" i="10"/>
  <c r="J13" i="10" s="1"/>
  <c r="I12" i="10"/>
  <c r="D12" i="10"/>
  <c r="J12" i="10" s="1"/>
  <c r="E12" i="10"/>
  <c r="K12" i="10"/>
  <c r="E11" i="10"/>
  <c r="K11" i="10" s="1"/>
  <c r="I11" i="10"/>
  <c r="D11" i="10"/>
  <c r="J11" i="10"/>
  <c r="I10" i="10"/>
  <c r="D10" i="10"/>
  <c r="J10" i="10" s="1"/>
  <c r="E10" i="10"/>
  <c r="K10" i="10"/>
  <c r="E9" i="10"/>
  <c r="K9" i="10" s="1"/>
  <c r="D9" i="10"/>
  <c r="J9" i="10" s="1"/>
  <c r="I9" i="10"/>
  <c r="I8" i="10"/>
  <c r="D8" i="10"/>
  <c r="J8" i="10" s="1"/>
  <c r="E8" i="10"/>
  <c r="K8" i="10" s="1"/>
  <c r="F7" i="10"/>
  <c r="L7" i="10" s="1"/>
  <c r="I7" i="10"/>
  <c r="E7" i="10"/>
  <c r="K7" i="10" s="1"/>
  <c r="D7" i="10"/>
  <c r="J7" i="10" s="1"/>
  <c r="E6" i="10"/>
  <c r="K6" i="10" s="1"/>
  <c r="D6" i="10"/>
  <c r="J6" i="10" s="1"/>
  <c r="I6" i="10"/>
  <c r="I5" i="10"/>
  <c r="D5" i="10"/>
  <c r="J5" i="10"/>
  <c r="E5" i="10"/>
  <c r="K5" i="10" s="1"/>
  <c r="E4" i="10"/>
  <c r="K4" i="10" s="1"/>
  <c r="D4" i="10"/>
  <c r="J4" i="10" s="1"/>
  <c r="I4" i="10"/>
  <c r="I3" i="10"/>
  <c r="D3" i="10"/>
  <c r="J3" i="10" s="1"/>
  <c r="E3" i="10"/>
  <c r="K3" i="10" s="1"/>
  <c r="E2" i="10"/>
  <c r="K2" i="10" s="1"/>
  <c r="I2" i="10"/>
  <c r="D2" i="10"/>
  <c r="J2" i="10" s="1"/>
  <c r="F10" i="4"/>
  <c r="E10" i="4" s="1"/>
  <c r="M8" i="10" l="1"/>
  <c r="M22" i="10"/>
  <c r="M35" i="10"/>
  <c r="M39" i="10"/>
  <c r="M9" i="10"/>
  <c r="E2" i="4"/>
  <c r="M31" i="10"/>
  <c r="M38" i="10"/>
  <c r="M42" i="10"/>
  <c r="H19" i="33"/>
  <c r="H20" i="33"/>
  <c r="M3" i="10"/>
  <c r="M18" i="10"/>
  <c r="M17" i="10"/>
  <c r="M45" i="10"/>
  <c r="M48" i="10"/>
  <c r="M4" i="10"/>
  <c r="M6" i="10"/>
  <c r="M21" i="10"/>
  <c r="M7" i="10"/>
  <c r="M2" i="10"/>
  <c r="M27" i="10"/>
  <c r="M33" i="10"/>
  <c r="M36" i="10"/>
  <c r="M46" i="10"/>
  <c r="M14" i="10"/>
  <c r="M32" i="10"/>
  <c r="M40" i="10"/>
  <c r="M54" i="10"/>
  <c r="M15" i="10"/>
  <c r="M26" i="10"/>
  <c r="M37" i="10"/>
  <c r="F8" i="26"/>
  <c r="H59" i="33"/>
  <c r="I59" i="33" s="1"/>
  <c r="J59" i="33" s="1"/>
  <c r="K59" i="33" s="1"/>
  <c r="G23" i="33"/>
  <c r="I9" i="34"/>
  <c r="J9" i="34" s="1"/>
  <c r="J35" i="34" s="1"/>
  <c r="J36" i="34" s="1"/>
  <c r="G4" i="4" s="1"/>
  <c r="J7" i="34"/>
  <c r="M5" i="10"/>
  <c r="M10" i="10"/>
  <c r="M20" i="10"/>
  <c r="M30" i="10"/>
  <c r="M49" i="10"/>
  <c r="F35" i="33"/>
  <c r="E53" i="33"/>
  <c r="F34" i="33"/>
  <c r="G35" i="33" s="1"/>
  <c r="M12" i="10"/>
  <c r="M24" i="10"/>
  <c r="M13" i="10"/>
  <c r="M16" i="10"/>
  <c r="M19" i="10"/>
  <c r="M29" i="10"/>
  <c r="M44" i="10"/>
  <c r="M47" i="10"/>
  <c r="M51" i="10"/>
  <c r="M53" i="10"/>
  <c r="M55" i="10"/>
  <c r="C16" i="26"/>
  <c r="G63" i="33"/>
  <c r="F40" i="33"/>
  <c r="F39" i="33"/>
  <c r="G40" i="33" s="1"/>
  <c r="M11" i="10"/>
  <c r="M23" i="10"/>
  <c r="M25" i="10"/>
  <c r="M34" i="10"/>
  <c r="M41" i="10"/>
  <c r="M43" i="10"/>
  <c r="G22" i="33"/>
  <c r="H60" i="33"/>
  <c r="I60" i="33" s="1"/>
  <c r="J60" i="33" s="1"/>
  <c r="C35" i="34"/>
  <c r="H24" i="4"/>
  <c r="D39" i="4" s="1"/>
  <c r="E23" i="4"/>
  <c r="I21" i="4"/>
  <c r="D23" i="4"/>
  <c r="I19" i="4"/>
  <c r="G9" i="4"/>
  <c r="F9" i="4" s="1"/>
  <c r="E9" i="4" s="1"/>
  <c r="F5" i="4"/>
  <c r="G8" i="4" l="1"/>
  <c r="F8" i="4" s="1"/>
  <c r="E8" i="4" s="1"/>
  <c r="G7" i="4"/>
  <c r="F7" i="4" s="1"/>
  <c r="E7" i="4" s="1"/>
  <c r="I23" i="4"/>
  <c r="F4" i="4"/>
  <c r="M56" i="10"/>
  <c r="H14" i="33"/>
  <c r="G11" i="4"/>
  <c r="F11" i="4" s="1"/>
  <c r="E11" i="4" s="1"/>
  <c r="C33" i="26"/>
  <c r="G3" i="4" s="1"/>
  <c r="F3" i="4" s="1"/>
  <c r="E3" i="4" s="1"/>
  <c r="I35" i="34"/>
  <c r="E5" i="4"/>
  <c r="F53" i="33"/>
  <c r="G34" i="33"/>
  <c r="G39" i="33"/>
  <c r="H15" i="33"/>
  <c r="H63" i="33"/>
  <c r="J63" i="33"/>
  <c r="K60" i="33"/>
  <c r="K63" i="33" s="1"/>
  <c r="I63" i="33"/>
  <c r="G24" i="4"/>
  <c r="D28" i="4" s="1"/>
  <c r="I24" i="4"/>
  <c r="E4" i="4" l="1"/>
  <c r="I4" i="4"/>
  <c r="H24" i="33"/>
  <c r="H34" i="33"/>
  <c r="G53" i="33"/>
  <c r="H35" i="33"/>
  <c r="D35" i="33" s="1"/>
  <c r="H39" i="33"/>
  <c r="H40" i="33"/>
  <c r="D40" i="33" s="1"/>
  <c r="G15" i="33" s="1"/>
  <c r="H53" i="33" l="1"/>
  <c r="G14" i="33"/>
  <c r="G24" i="33" s="1"/>
  <c r="G6" i="4" s="1"/>
  <c r="D53" i="33"/>
  <c r="F6" i="4" l="1"/>
  <c r="E6" i="4" s="1"/>
  <c r="G12" i="4"/>
  <c r="E12" i="4" l="1"/>
  <c r="F12" i="4"/>
  <c r="H6" i="4" s="1"/>
  <c r="H9" i="4" l="1"/>
  <c r="H4" i="4"/>
  <c r="H7" i="4"/>
  <c r="D29" i="4"/>
  <c r="D30" i="4" s="1"/>
  <c r="D33" i="4" s="1"/>
  <c r="D34" i="4" s="1"/>
  <c r="H3" i="4"/>
  <c r="H10" i="4"/>
  <c r="H8" i="4"/>
  <c r="H5" i="4"/>
  <c r="H11" i="4"/>
  <c r="H2" i="4"/>
  <c r="D35" i="4" l="1"/>
  <c r="D41" i="4" s="1"/>
  <c r="H12" i="4"/>
  <c r="D43" i="4" l="1"/>
  <c r="D42" i="4"/>
</calcChain>
</file>

<file path=xl/sharedStrings.xml><?xml version="1.0" encoding="utf-8"?>
<sst xmlns="http://schemas.openxmlformats.org/spreadsheetml/2006/main" count="7139" uniqueCount="278">
  <si>
    <t>Project expenses</t>
  </si>
  <si>
    <t>Land Cost + Stamp Duty</t>
  </si>
  <si>
    <t>Payment payable to Rehab Tenants Alter Accommodation</t>
  </si>
  <si>
    <t>Construction Cost for Sale Building</t>
  </si>
  <si>
    <t>Approval Cost Of Fungible Cost &amp; Development cess premium</t>
  </si>
  <si>
    <t xml:space="preserve">Architect Cost, RCC &amp; other Professional fees </t>
  </si>
  <si>
    <t>Administrative Expenses</t>
  </si>
  <si>
    <t>Marketing Expences</t>
  </si>
  <si>
    <t>Interest Cost</t>
  </si>
  <si>
    <t xml:space="preserve">Total Cost </t>
  </si>
  <si>
    <t xml:space="preserve">Particulars </t>
  </si>
  <si>
    <t>Carpet Area in Sq. Ft.</t>
  </si>
  <si>
    <t>Received Amount in `</t>
  </si>
  <si>
    <t>Balance Amount in `</t>
  </si>
  <si>
    <t>Sold Flat</t>
  </si>
  <si>
    <t xml:space="preserve">Total </t>
  </si>
  <si>
    <t>Total Income from Sale in Cr.</t>
  </si>
  <si>
    <t>Gross Estimated Revenue</t>
  </si>
  <si>
    <t>Less: Total projected Expenses</t>
  </si>
  <si>
    <t>Estimated Surplus</t>
  </si>
  <si>
    <t>Project Cost and Developer Profit</t>
  </si>
  <si>
    <t>Developer Profit @ 30% of estimated surplus</t>
  </si>
  <si>
    <t>Net Surplus (3-4)</t>
  </si>
  <si>
    <t>Add:</t>
  </si>
  <si>
    <t>Expenses already incurred as on date</t>
  </si>
  <si>
    <t>(as per the certified Trial Balance Sheet of the project)</t>
  </si>
  <si>
    <t>Less:</t>
  </si>
  <si>
    <t>Present Value of the project potential/ Land Value As on Date</t>
  </si>
  <si>
    <t>The realizable value of the property</t>
  </si>
  <si>
    <t>Distress value of the property</t>
  </si>
  <si>
    <t>Total Construction Area in Sq. M.</t>
  </si>
  <si>
    <t>Ground</t>
  </si>
  <si>
    <t>TOTAL</t>
  </si>
  <si>
    <t>Sr. No.</t>
  </si>
  <si>
    <t>A</t>
  </si>
  <si>
    <t>B</t>
  </si>
  <si>
    <r>
      <rPr>
        <b/>
        <sz val="12"/>
        <color theme="1"/>
        <rFont val="Arial Narrow"/>
        <family val="2"/>
      </rPr>
      <t xml:space="preserve">To be Incurred Cost in </t>
    </r>
    <r>
      <rPr>
        <b/>
        <sz val="12"/>
        <color theme="1"/>
        <rFont val="Rupee Foradian"/>
        <family val="2"/>
      </rPr>
      <t>`</t>
    </r>
  </si>
  <si>
    <r>
      <rPr>
        <b/>
        <sz val="12"/>
        <color theme="1"/>
        <rFont val="Arial Narrow"/>
        <family val="2"/>
      </rPr>
      <t>Total (</t>
    </r>
    <r>
      <rPr>
        <b/>
        <sz val="12"/>
        <color theme="1"/>
        <rFont val="Rupee Foradian"/>
        <family val="2"/>
      </rPr>
      <t>`</t>
    </r>
    <r>
      <rPr>
        <b/>
        <sz val="12"/>
        <color theme="1"/>
        <rFont val="Arial Narrow"/>
        <family val="2"/>
      </rPr>
      <t xml:space="preserve"> in Cr.)</t>
    </r>
  </si>
  <si>
    <r>
      <rPr>
        <b/>
        <sz val="12"/>
        <color theme="1"/>
        <rFont val="Arial Narrow"/>
        <family val="2"/>
      </rPr>
      <t xml:space="preserve">Total in </t>
    </r>
    <r>
      <rPr>
        <b/>
        <sz val="12"/>
        <color theme="1"/>
        <rFont val="Rupee Foradian"/>
        <family val="2"/>
      </rPr>
      <t>`</t>
    </r>
  </si>
  <si>
    <r>
      <rPr>
        <b/>
        <sz val="12"/>
        <color theme="1"/>
        <rFont val="Calibri"/>
        <family val="2"/>
      </rPr>
      <t xml:space="preserve">Rate in </t>
    </r>
    <r>
      <rPr>
        <b/>
        <sz val="12"/>
        <color theme="1"/>
        <rFont val="Rupee Foradian"/>
        <family val="2"/>
      </rPr>
      <t>`</t>
    </r>
  </si>
  <si>
    <r>
      <rPr>
        <b/>
        <sz val="12"/>
        <color theme="1"/>
        <rFont val="Calibri"/>
        <family val="2"/>
      </rPr>
      <t xml:space="preserve"> Mkt. Value  in </t>
    </r>
    <r>
      <rPr>
        <b/>
        <sz val="12"/>
        <color theme="1"/>
        <rFont val="Rupee Foradian"/>
        <family val="2"/>
      </rPr>
      <t>`</t>
    </r>
    <r>
      <rPr>
        <b/>
        <sz val="12"/>
        <color theme="1"/>
        <rFont val="Calibri"/>
        <family val="2"/>
      </rPr>
      <t xml:space="preserve"> </t>
    </r>
  </si>
  <si>
    <r>
      <rPr>
        <b/>
        <sz val="11"/>
        <color theme="1"/>
        <rFont val="Arial Narrow"/>
        <family val="2"/>
      </rPr>
      <t xml:space="preserve">Amount ( </t>
    </r>
    <r>
      <rPr>
        <b/>
        <sz val="11"/>
        <color theme="1"/>
        <rFont val="Rupee Foradian"/>
        <family val="2"/>
      </rPr>
      <t>`</t>
    </r>
    <r>
      <rPr>
        <b/>
        <sz val="11"/>
        <color theme="1"/>
        <rFont val="Arial Narrow"/>
        <family val="2"/>
      </rPr>
      <t xml:space="preserve"> in Cr.)</t>
    </r>
  </si>
  <si>
    <t>Date</t>
  </si>
  <si>
    <t>Stamp Duty</t>
  </si>
  <si>
    <t>Reg. Fees</t>
  </si>
  <si>
    <t>Total</t>
  </si>
  <si>
    <t>Particulars</t>
  </si>
  <si>
    <t>Staircase Premium</t>
  </si>
  <si>
    <t>Floor</t>
  </si>
  <si>
    <t>Flat No.</t>
  </si>
  <si>
    <t>Carpet Area</t>
  </si>
  <si>
    <t>Balcony Area</t>
  </si>
  <si>
    <t>Cuboard Area</t>
  </si>
  <si>
    <t>Terrace</t>
  </si>
  <si>
    <t xml:space="preserve"> </t>
  </si>
  <si>
    <t>Stamp Duty &amp; Registration Fees</t>
  </si>
  <si>
    <t>Agreement Name</t>
  </si>
  <si>
    <t>Amount</t>
  </si>
  <si>
    <t>Development Agreement</t>
  </si>
  <si>
    <t>Power of Attorney</t>
  </si>
  <si>
    <t>Brokerage</t>
  </si>
  <si>
    <t>Shifting Charges</t>
  </si>
  <si>
    <t>Floor No.</t>
  </si>
  <si>
    <t>Value in `</t>
  </si>
  <si>
    <t>Contingous Cost</t>
  </si>
  <si>
    <t>Wing</t>
  </si>
  <si>
    <t>Unsold Flat</t>
  </si>
  <si>
    <t>Incurred Amoun</t>
  </si>
  <si>
    <t>SupplementaryAttorney</t>
  </si>
  <si>
    <t>No. of Tenants</t>
  </si>
  <si>
    <t>Total Carpet Area in Sq. Ft.</t>
  </si>
  <si>
    <t>Rent per month for first 22 Months</t>
  </si>
  <si>
    <t>Rent per Sq. Ft. per month for first 22 Months</t>
  </si>
  <si>
    <t>Rent for 22 Months</t>
  </si>
  <si>
    <t>Rent per Sq. Ft. per Month for 23 to 36 Months</t>
  </si>
  <si>
    <t>Rent per month for 23 to 36 Months</t>
  </si>
  <si>
    <t>Rent for 14 Months</t>
  </si>
  <si>
    <t xml:space="preserve">August 21 - July22 </t>
  </si>
  <si>
    <t>August  22 - June 23</t>
  </si>
  <si>
    <t>July 23 - August 24</t>
  </si>
  <si>
    <t>Sept 24 - July 25</t>
  </si>
  <si>
    <t>August 25 - June 26</t>
  </si>
  <si>
    <t>July 26 - Sept 26</t>
  </si>
  <si>
    <t>Hardship 1000 per Sq. Ft.</t>
  </si>
  <si>
    <t>Total Rent Cost</t>
  </si>
  <si>
    <t>Rent per Sq. Ft. per Month for next 11 month</t>
  </si>
  <si>
    <t>Rent per month for till next 11 month</t>
  </si>
  <si>
    <t>Rent for 11 Months</t>
  </si>
  <si>
    <t>Rent per Sq. Ft. per Month for next 3 month</t>
  </si>
  <si>
    <t>Rent per month for till next 3 month</t>
  </si>
  <si>
    <t>Rent for 3 Months</t>
  </si>
  <si>
    <t>M/s DGS Township Private Limited</t>
  </si>
  <si>
    <t>Project: Sheetal Regalia</t>
  </si>
  <si>
    <t>Permission and Approvals working:</t>
  </si>
  <si>
    <t>S. No.</t>
  </si>
  <si>
    <t xml:space="preserve">Nature of Charges </t>
  </si>
  <si>
    <t>Authority</t>
  </si>
  <si>
    <t>Challan No.</t>
  </si>
  <si>
    <t xml:space="preserve">Date </t>
  </si>
  <si>
    <t>Projected Cost</t>
  </si>
  <si>
    <t>Incurred till date</t>
  </si>
  <si>
    <t>File No.</t>
  </si>
  <si>
    <t>Premium for staircase, lift, lobby area</t>
  </si>
  <si>
    <t>MCGM</t>
  </si>
  <si>
    <t>80560/22</t>
  </si>
  <si>
    <t>Scrutiny Fees u/s 337 &amp; 342</t>
  </si>
  <si>
    <t>80555/22</t>
  </si>
  <si>
    <t>IOD Deposit</t>
  </si>
  <si>
    <t>80556/22</t>
  </si>
  <si>
    <t>Premium for fungible FSI</t>
  </si>
  <si>
    <t>80557/22</t>
  </si>
  <si>
    <t>Scrutiny Fees of IOA</t>
  </si>
  <si>
    <t>SRA</t>
  </si>
  <si>
    <t>IOA Deposit</t>
  </si>
  <si>
    <t>Labour Welfare Cess</t>
  </si>
  <si>
    <t>Development charges MRTP Act</t>
  </si>
  <si>
    <t>1, 6</t>
  </si>
  <si>
    <t>Infrastructure charges</t>
  </si>
  <si>
    <t>Website charges</t>
  </si>
  <si>
    <t>Legal Expenses</t>
  </si>
  <si>
    <t>LOI Scrutiny Fees</t>
  </si>
  <si>
    <t>MRTP Development charges</t>
  </si>
  <si>
    <t>Premium for unearned Income</t>
  </si>
  <si>
    <t>Fungible Premium</t>
  </si>
  <si>
    <t>Architect Letter</t>
  </si>
  <si>
    <t xml:space="preserve">Open Space Deficiency </t>
  </si>
  <si>
    <t xml:space="preserve">Note: </t>
  </si>
  <si>
    <t>Balance amount after 15 months</t>
  </si>
  <si>
    <t>Deferment scheme for Development &amp; Premium Charges (upto 16th Flr cc)-</t>
  </si>
  <si>
    <t>Total Amount</t>
  </si>
  <si>
    <t>1st Instalment</t>
  </si>
  <si>
    <t>2nd Instalment</t>
  </si>
  <si>
    <t>3rd Instalment</t>
  </si>
  <si>
    <t>4th Instalment</t>
  </si>
  <si>
    <t>MRTP Development charges (letter dated 30-09-2022):</t>
  </si>
  <si>
    <t xml:space="preserve"> - Amount</t>
  </si>
  <si>
    <t xml:space="preserve"> - Interest Amount</t>
  </si>
  <si>
    <t xml:space="preserve"> - Due date</t>
  </si>
  <si>
    <t>Paid</t>
  </si>
  <si>
    <t>25-04-2023</t>
  </si>
  <si>
    <t>25-10-2023</t>
  </si>
  <si>
    <t>25-04-2024</t>
  </si>
  <si>
    <t>Infrastructure charges (letter dated 30-09-2022):</t>
  </si>
  <si>
    <t>MRTP Development charges (letter dated 19-01-2023):</t>
  </si>
  <si>
    <t>12-08-2023</t>
  </si>
  <si>
    <t>12-02-2024</t>
  </si>
  <si>
    <t>12-08-2024</t>
  </si>
  <si>
    <t>Premium for unearned Income  (letter dated 19-01-2023)</t>
  </si>
  <si>
    <t>Fungible &amp; other charges for above 16th Flrs-</t>
  </si>
  <si>
    <t>Area</t>
  </si>
  <si>
    <t xml:space="preserve"> Rate</t>
  </si>
  <si>
    <t>Multiplication Factor</t>
  </si>
  <si>
    <t>1st Instalment (Sep-24)</t>
  </si>
  <si>
    <t>2nd Instalment (Dec-24)</t>
  </si>
  <si>
    <t>3rd Instalment (Mar-25)</t>
  </si>
  <si>
    <t>4th Instalment (Jun-25)</t>
  </si>
  <si>
    <t>Shop</t>
  </si>
  <si>
    <t>Office</t>
  </si>
  <si>
    <t>Resi / Comm</t>
  </si>
  <si>
    <t>Ownership</t>
  </si>
  <si>
    <t>RERA Carpet Area (Sq. Ft.)</t>
  </si>
  <si>
    <t>To be Received
(In Rs)</t>
  </si>
  <si>
    <t>Sale Rate</t>
  </si>
  <si>
    <t>Agreement Date</t>
  </si>
  <si>
    <t>Customer Name</t>
  </si>
  <si>
    <t>Commercial</t>
  </si>
  <si>
    <t>Developer</t>
  </si>
  <si>
    <t>Unsold</t>
  </si>
  <si>
    <t>Sold</t>
  </si>
  <si>
    <t>Resi</t>
  </si>
  <si>
    <t>Member</t>
  </si>
  <si>
    <t>Refugee</t>
  </si>
  <si>
    <t>2BHK</t>
  </si>
  <si>
    <t>1BHK</t>
  </si>
  <si>
    <t>3BHK</t>
  </si>
  <si>
    <t>Rate per Sq. Ft. on Carpet Area</t>
  </si>
  <si>
    <t>Unsold Office</t>
  </si>
  <si>
    <t>Sold Office</t>
  </si>
  <si>
    <t>Unsold Shop</t>
  </si>
  <si>
    <t>Sold Shop</t>
  </si>
  <si>
    <t>Additional corpus fund</t>
  </si>
  <si>
    <t>PTC building</t>
  </si>
  <si>
    <t>Construction cost of PTC building</t>
  </si>
  <si>
    <t>Other Area in Sq. M.</t>
  </si>
  <si>
    <t>Ground Floor</t>
  </si>
  <si>
    <t>Terrace / OHT</t>
  </si>
  <si>
    <t>Built Up Area in Sq. M.</t>
  </si>
  <si>
    <t>2nd Habitable Floor</t>
  </si>
  <si>
    <t>3rd Habitable Floor</t>
  </si>
  <si>
    <t>4th Habitable Floor</t>
  </si>
  <si>
    <t>5th Habitable Floor</t>
  </si>
  <si>
    <t>6th Habitable Floor</t>
  </si>
  <si>
    <t>7th Habitable Floor</t>
  </si>
  <si>
    <t>8th Habitable Floor</t>
  </si>
  <si>
    <t>9th Habitable Floor</t>
  </si>
  <si>
    <t>10th Habitable Floor</t>
  </si>
  <si>
    <t>11th Habitable Floor</t>
  </si>
  <si>
    <t>12th Habitable Floor</t>
  </si>
  <si>
    <t>13th Habitable Floor</t>
  </si>
  <si>
    <t>14th Habitable Floor</t>
  </si>
  <si>
    <t>15th Habitable Floor</t>
  </si>
  <si>
    <t>16th Habitable Floor</t>
  </si>
  <si>
    <t>17th Habitable Floor</t>
  </si>
  <si>
    <t>18th Habitable Floor</t>
  </si>
  <si>
    <t>19th Habitable Floor</t>
  </si>
  <si>
    <t>20th Habitable Floor</t>
  </si>
  <si>
    <t>2nd Podium Floor</t>
  </si>
  <si>
    <t>3rd Podium Floor</t>
  </si>
  <si>
    <t>1st Commerical Floor</t>
  </si>
  <si>
    <t>Staircase Area in Sq. M.</t>
  </si>
  <si>
    <t>Total Construction Area in Sq. Ft.</t>
  </si>
  <si>
    <t>Tenants</t>
  </si>
  <si>
    <t>Built Up Area
(Sq Ft)</t>
  </si>
  <si>
    <t>1st Habitable</t>
  </si>
  <si>
    <t>2nd Habitable</t>
  </si>
  <si>
    <t>3rd Habitable</t>
  </si>
  <si>
    <t>4th Habitable</t>
  </si>
  <si>
    <t>5th Habitable</t>
  </si>
  <si>
    <t>6th Habitable</t>
  </si>
  <si>
    <t>7th Habitable</t>
  </si>
  <si>
    <t>8th Habitable</t>
  </si>
  <si>
    <t>9th Habitable</t>
  </si>
  <si>
    <t>10th Habitable</t>
  </si>
  <si>
    <t>11th Habitable</t>
  </si>
  <si>
    <t>12th Habitable</t>
  </si>
  <si>
    <t>13th Habitable</t>
  </si>
  <si>
    <t>14th Habitable</t>
  </si>
  <si>
    <t>15th Habitable</t>
  </si>
  <si>
    <t>16th Habitable</t>
  </si>
  <si>
    <t>17th Habitable</t>
  </si>
  <si>
    <t>18th Habitable</t>
  </si>
  <si>
    <t>19th Habitable</t>
  </si>
  <si>
    <t>20th Habitable</t>
  </si>
  <si>
    <t>Comp.</t>
  </si>
  <si>
    <t>Sold / Unsold / Tenant Inventory2</t>
  </si>
  <si>
    <t>Shop No.</t>
  </si>
  <si>
    <t>Nos.</t>
  </si>
  <si>
    <t>Sq. Ft.</t>
  </si>
  <si>
    <t>Rupees</t>
  </si>
  <si>
    <t>2nd Commercial Floor</t>
  </si>
  <si>
    <t>1st Podium Floor</t>
  </si>
  <si>
    <t>4th E - Level Floor</t>
  </si>
  <si>
    <t>1st Habitale Floor</t>
  </si>
  <si>
    <t>Refuge Area in Sq. M.</t>
  </si>
  <si>
    <t>Ramp Area in Sq. M.</t>
  </si>
  <si>
    <t>Podium Area in Sq. M.</t>
  </si>
  <si>
    <t>RERA Carpet Area (Sq. M.)</t>
  </si>
  <si>
    <t>Shop No / Office No. / Flat No.</t>
  </si>
  <si>
    <t>1st Com. Floor</t>
  </si>
  <si>
    <t>Ground + 1st Com.Floor</t>
  </si>
  <si>
    <t>2nd Com. Floor</t>
  </si>
  <si>
    <t>2 BHK</t>
  </si>
  <si>
    <t>Refuge</t>
  </si>
  <si>
    <t>1 BHK</t>
  </si>
  <si>
    <t>3 BHK</t>
  </si>
  <si>
    <t>As per plan it is showing tenant flat but it is showing sold flat</t>
  </si>
  <si>
    <t>PV (discounted @ 8% for 2 years)</t>
  </si>
  <si>
    <t>CRM</t>
  </si>
  <si>
    <t>Agreement Value as per  Excel</t>
  </si>
  <si>
    <t>Amt Received as per Excel</t>
  </si>
  <si>
    <t>Column2</t>
  </si>
  <si>
    <t>UNSOLD</t>
  </si>
  <si>
    <t>225A</t>
  </si>
  <si>
    <t>225B</t>
  </si>
  <si>
    <t>REFUGE</t>
  </si>
  <si>
    <t>MEMBER-Extra</t>
  </si>
  <si>
    <t>MEMBER</t>
  </si>
  <si>
    <t>No.</t>
  </si>
  <si>
    <t>Built Up Area (Sq Ft)</t>
  </si>
  <si>
    <t>FLAT INVENTORY</t>
  </si>
  <si>
    <t>SHOP INVENTORY</t>
  </si>
  <si>
    <t>OFFICE INVENTORY</t>
  </si>
  <si>
    <t xml:space="preserve"> Flat No.</t>
  </si>
  <si>
    <t>Office No.</t>
  </si>
  <si>
    <t xml:space="preserve">No. of Units </t>
  </si>
  <si>
    <r>
      <t xml:space="preserve">Incurred Cost in </t>
    </r>
    <r>
      <rPr>
        <b/>
        <sz val="12"/>
        <color theme="1"/>
        <rFont val="Rupee Foradian"/>
        <family val="2"/>
      </rPr>
      <t xml:space="preserve">` </t>
    </r>
    <r>
      <rPr>
        <b/>
        <sz val="12"/>
        <color theme="1"/>
        <rFont val="Arial Narrow"/>
        <family val="2"/>
      </rPr>
      <t>as per CA till 31.12.2024</t>
    </r>
  </si>
  <si>
    <t>Sr.</t>
  </si>
  <si>
    <t>Tenant Flat Inventory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</si>
</sst>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9">
    <numFmt numFmtId="43" formatCode="_ * #,##0.00_ ;_ * \-#,##0.00_ ;_ * &quot;-&quot;??_ ;_ @_ "/>
    <numFmt numFmtId="164" formatCode="_(* #,##0.00_);_(* \(#,##0.00\);_(* &quot;-&quot;??_);_(@_)"/>
    <numFmt numFmtId="165" formatCode="_-* #,##0_-;\-* #,##0_-;_-* &quot;-&quot;??_-;_-@"/>
    <numFmt numFmtId="166" formatCode="#,##0.0000"/>
    <numFmt numFmtId="167" formatCode="&quot;Rs.&quot;\ #,##0.00;[Red]&quot;Rs.&quot;\ \-#,##0.00"/>
    <numFmt numFmtId="168" formatCode="_ * #,##0_ ;_ * \-#,##0_ ;_ * &quot;-&quot;??_ ;_ @_ "/>
    <numFmt numFmtId="169" formatCode="_(* #,##0_);_(* \(#,##0\);_(* &quot;-&quot;??_);_(@_)"/>
    <numFmt numFmtId="170" formatCode="0.0%"/>
    <numFmt numFmtId="171" formatCode="_(* #,##0.0_);_(* \(#,##0.0\);_(* &quot;-&quot;?_);_(@_)"/>
  </numFmts>
  <fonts count="43" x14ac:knownFonts="1">
    <font>
      <sz val="11"/>
      <color theme="1"/>
      <name val="Arial"/>
      <scheme val="minor"/>
    </font>
    <font>
      <sz val="11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12"/>
      <color rgb="FFFF0000"/>
      <name val="Calibri"/>
      <family val="2"/>
    </font>
    <font>
      <b/>
      <sz val="12"/>
      <color theme="1"/>
      <name val="Arial Narrow"/>
      <family val="2"/>
    </font>
    <font>
      <b/>
      <sz val="11"/>
      <color theme="1"/>
      <name val="Arial Narrow"/>
      <family val="2"/>
    </font>
    <font>
      <sz val="11"/>
      <color theme="1"/>
      <name val="Calibri"/>
      <family val="2"/>
    </font>
    <font>
      <sz val="12"/>
      <color theme="1"/>
      <name val="Calibri"/>
      <family val="2"/>
    </font>
    <font>
      <sz val="12"/>
      <color theme="1"/>
      <name val="Arial Narrow"/>
      <family val="2"/>
    </font>
    <font>
      <sz val="11"/>
      <color theme="1"/>
      <name val="Arial"/>
      <family val="2"/>
    </font>
    <font>
      <sz val="12"/>
      <color rgb="FFFF0000"/>
      <name val="Calibri"/>
      <family val="2"/>
    </font>
    <font>
      <b/>
      <sz val="12"/>
      <color theme="1"/>
      <name val="Calibri"/>
      <family val="2"/>
    </font>
    <font>
      <b/>
      <sz val="11"/>
      <color rgb="FF000000"/>
      <name val="Arial Narrow"/>
      <family val="2"/>
    </font>
    <font>
      <b/>
      <sz val="11"/>
      <color theme="1"/>
      <name val="Calibri"/>
      <family val="2"/>
    </font>
    <font>
      <b/>
      <sz val="12"/>
      <color theme="1"/>
      <name val="Rupee Foradian"/>
      <family val="2"/>
    </font>
    <font>
      <b/>
      <sz val="11"/>
      <color theme="1"/>
      <name val="Rupee Foradian"/>
      <family val="2"/>
    </font>
    <font>
      <sz val="11"/>
      <color theme="1"/>
      <name val="Arial"/>
      <family val="2"/>
      <scheme val="minor"/>
    </font>
    <font>
      <sz val="11"/>
      <color theme="1"/>
      <name val="Arial"/>
      <family val="2"/>
    </font>
    <font>
      <sz val="10"/>
      <color theme="1"/>
      <name val="Verdana"/>
      <family val="2"/>
    </font>
    <font>
      <sz val="10"/>
      <name val="Arial"/>
      <family val="2"/>
    </font>
    <font>
      <sz val="11"/>
      <name val="Calibri"/>
      <family val="2"/>
    </font>
    <font>
      <sz val="11"/>
      <color theme="1"/>
      <name val="Arial"/>
      <family val="2"/>
      <scheme val="minor"/>
    </font>
    <font>
      <sz val="11"/>
      <color theme="1"/>
      <name val="Bookman Old Style"/>
      <family val="1"/>
    </font>
    <font>
      <b/>
      <sz val="11"/>
      <color theme="1"/>
      <name val="Bookman Old Style"/>
      <family val="1"/>
    </font>
    <font>
      <b/>
      <sz val="11"/>
      <name val="Bookman Old Style"/>
      <family val="1"/>
    </font>
    <font>
      <sz val="11"/>
      <name val="Bookman Old Style"/>
      <family val="1"/>
    </font>
    <font>
      <sz val="8"/>
      <name val="Arial"/>
      <family val="2"/>
      <scheme val="minor"/>
    </font>
    <font>
      <sz val="11"/>
      <color theme="1"/>
      <name val="Arial Narrow"/>
      <family val="2"/>
    </font>
    <font>
      <b/>
      <sz val="11"/>
      <name val="Arial Narrow"/>
      <family val="2"/>
    </font>
    <font>
      <sz val="11"/>
      <name val="Arial Narrow"/>
      <family val="2"/>
    </font>
    <font>
      <sz val="11"/>
      <color rgb="FFFF0000"/>
      <name val="Arial Narrow"/>
      <family val="2"/>
    </font>
    <font>
      <b/>
      <sz val="10"/>
      <name val="Arial Narrow"/>
      <family val="2"/>
    </font>
    <font>
      <sz val="10"/>
      <name val="Arial Narrow"/>
      <family val="2"/>
    </font>
    <font>
      <sz val="8"/>
      <color rgb="FF333333"/>
      <name val="Arial Narrow"/>
      <family val="2"/>
    </font>
    <font>
      <sz val="10"/>
      <color rgb="FF333333"/>
      <name val="Arial Narrow"/>
      <family val="2"/>
    </font>
    <font>
      <sz val="10"/>
      <color theme="1"/>
      <name val="Arial Narrow"/>
      <family val="2"/>
    </font>
    <font>
      <b/>
      <sz val="10"/>
      <color rgb="FF333333"/>
      <name val="Arial Narrow"/>
      <family val="2"/>
    </font>
    <font>
      <b/>
      <sz val="11"/>
      <color rgb="FFFFFFFF"/>
      <name val="Arial Narrow"/>
      <family val="2"/>
    </font>
    <font>
      <b/>
      <sz val="8"/>
      <color rgb="FFFFFFFF"/>
      <name val="Arial Narrow"/>
      <family val="2"/>
    </font>
  </fonts>
  <fills count="9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rgb="FFFDE4D0"/>
        <bgColor rgb="FFFDE4D0"/>
      </patternFill>
    </fill>
    <fill>
      <patternFill patternType="solid">
        <fgColor theme="4"/>
        <bgColor theme="4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0"/>
        <bgColor rgb="FFFFFF00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rgb="FFDDDDDD"/>
      </left>
      <right style="medium">
        <color rgb="FFDDDDDD"/>
      </right>
      <top style="medium">
        <color rgb="FFDDDDDD"/>
      </top>
      <bottom style="medium">
        <color rgb="FFDDDDDD"/>
      </bottom>
      <diagonal/>
    </border>
    <border>
      <left/>
      <right/>
      <top style="medium">
        <color rgb="FFDDDDDD"/>
      </top>
      <bottom/>
      <diagonal/>
    </border>
    <border>
      <left/>
      <right style="medium">
        <color rgb="FFDDDDDD"/>
      </right>
      <top style="medium">
        <color rgb="FFDDDDDD"/>
      </top>
      <bottom/>
      <diagonal/>
    </border>
    <border>
      <left/>
      <right style="medium">
        <color rgb="FFDDDDDD"/>
      </right>
      <top/>
      <bottom/>
      <diagonal/>
    </border>
    <border>
      <left/>
      <right/>
      <top/>
      <bottom style="medium">
        <color rgb="FFDDDDDD"/>
      </bottom>
      <diagonal/>
    </border>
    <border>
      <left/>
      <right style="medium">
        <color rgb="FFDDDDDD"/>
      </right>
      <top/>
      <bottom style="medium">
        <color rgb="FFDDDDDD"/>
      </bottom>
      <diagonal/>
    </border>
    <border>
      <left style="medium">
        <color rgb="FFDDDDDD"/>
      </left>
      <right/>
      <top/>
      <bottom style="medium">
        <color rgb="FFDDDDDD"/>
      </bottom>
      <diagonal/>
    </border>
    <border>
      <left style="thin">
        <color indexed="64"/>
      </left>
      <right style="thin">
        <color indexed="64"/>
      </right>
      <top style="thin">
        <color theme="4" tint="0.39997558519241921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5">
    <xf numFmtId="0" fontId="0" fillId="0" borderId="0"/>
    <xf numFmtId="43" fontId="20" fillId="0" borderId="0" applyFont="0" applyFill="0" applyBorder="0" applyAlignment="0" applyProtection="0"/>
    <xf numFmtId="0" fontId="13" fillId="0" borderId="0"/>
    <xf numFmtId="43" fontId="21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22" fillId="0" borderId="0"/>
    <xf numFmtId="0" fontId="23" fillId="0" borderId="0"/>
    <xf numFmtId="0" fontId="6" fillId="0" borderId="0"/>
    <xf numFmtId="0" fontId="6" fillId="0" borderId="0"/>
    <xf numFmtId="43" fontId="6" fillId="0" borderId="0" applyFont="0" applyFill="0" applyBorder="0" applyAlignment="0" applyProtection="0"/>
    <xf numFmtId="0" fontId="5" fillId="0" borderId="0"/>
    <xf numFmtId="43" fontId="5" fillId="0" borderId="0" applyFont="0" applyFill="0" applyBorder="0" applyAlignment="0" applyProtection="0"/>
    <xf numFmtId="9" fontId="25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43" fontId="2" fillId="0" borderId="0" applyFont="0" applyFill="0" applyBorder="0" applyAlignment="0" applyProtection="0"/>
  </cellStyleXfs>
  <cellXfs count="303">
    <xf numFmtId="0" fontId="0" fillId="0" borderId="0" xfId="0"/>
    <xf numFmtId="0" fontId="7" fillId="0" borderId="0" xfId="0" applyFont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top" wrapText="1"/>
    </xf>
    <xf numFmtId="0" fontId="9" fillId="0" borderId="3" xfId="0" applyFont="1" applyBorder="1" applyAlignment="1">
      <alignment horizontal="right" vertical="top" wrapText="1"/>
    </xf>
    <xf numFmtId="43" fontId="10" fillId="0" borderId="3" xfId="0" applyNumberFormat="1" applyFont="1" applyBorder="1" applyAlignment="1">
      <alignment wrapText="1"/>
    </xf>
    <xf numFmtId="43" fontId="10" fillId="0" borderId="0" xfId="0" applyNumberFormat="1" applyFont="1" applyAlignment="1">
      <alignment wrapText="1"/>
    </xf>
    <xf numFmtId="4" fontId="10" fillId="0" borderId="0" xfId="0" applyNumberFormat="1" applyFont="1" applyAlignment="1">
      <alignment wrapText="1"/>
    </xf>
    <xf numFmtId="0" fontId="10" fillId="0" borderId="0" xfId="0" applyFont="1" applyAlignment="1">
      <alignment wrapText="1"/>
    </xf>
    <xf numFmtId="0" fontId="11" fillId="0" borderId="0" xfId="0" applyFont="1" applyAlignment="1">
      <alignment vertical="center"/>
    </xf>
    <xf numFmtId="0" fontId="11" fillId="0" borderId="1" xfId="0" applyFont="1" applyBorder="1" applyAlignment="1">
      <alignment vertical="center"/>
    </xf>
    <xf numFmtId="0" fontId="12" fillId="0" borderId="4" xfId="0" applyFont="1" applyBorder="1" applyAlignment="1">
      <alignment horizontal="left" vertical="center" wrapText="1"/>
    </xf>
    <xf numFmtId="43" fontId="12" fillId="0" borderId="1" xfId="0" applyNumberFormat="1" applyFont="1" applyBorder="1" applyAlignment="1">
      <alignment horizontal="right" wrapText="1"/>
    </xf>
    <xf numFmtId="43" fontId="12" fillId="0" borderId="5" xfId="0" applyNumberFormat="1" applyFont="1" applyBorder="1" applyAlignment="1">
      <alignment horizontal="right" wrapText="1"/>
    </xf>
    <xf numFmtId="43" fontId="10" fillId="0" borderId="1" xfId="0" applyNumberFormat="1" applyFont="1" applyBorder="1" applyAlignment="1">
      <alignment horizontal="right"/>
    </xf>
    <xf numFmtId="43" fontId="10" fillId="0" borderId="6" xfId="0" applyNumberFormat="1" applyFont="1" applyBorder="1"/>
    <xf numFmtId="43" fontId="10" fillId="0" borderId="0" xfId="0" applyNumberFormat="1" applyFont="1"/>
    <xf numFmtId="4" fontId="10" fillId="0" borderId="0" xfId="0" applyNumberFormat="1" applyFont="1"/>
    <xf numFmtId="0" fontId="13" fillId="0" borderId="0" xfId="0" applyFont="1"/>
    <xf numFmtId="0" fontId="12" fillId="0" borderId="7" xfId="0" applyFont="1" applyBorder="1" applyAlignment="1">
      <alignment vertical="center" wrapText="1"/>
    </xf>
    <xf numFmtId="0" fontId="10" fillId="0" borderId="0" xfId="0" applyFont="1"/>
    <xf numFmtId="0" fontId="14" fillId="0" borderId="0" xfId="0" applyFont="1" applyAlignment="1">
      <alignment vertical="center"/>
    </xf>
    <xf numFmtId="0" fontId="14" fillId="0" borderId="1" xfId="0" applyFont="1" applyBorder="1" applyAlignment="1">
      <alignment vertical="center"/>
    </xf>
    <xf numFmtId="43" fontId="12" fillId="0" borderId="5" xfId="0" applyNumberFormat="1" applyFont="1" applyBorder="1" applyAlignment="1">
      <alignment horizontal="right"/>
    </xf>
    <xf numFmtId="0" fontId="12" fillId="0" borderId="7" xfId="0" applyFont="1" applyBorder="1" applyAlignment="1">
      <alignment vertical="center"/>
    </xf>
    <xf numFmtId="0" fontId="12" fillId="0" borderId="7" xfId="0" applyFont="1" applyBorder="1" applyAlignment="1">
      <alignment wrapText="1"/>
    </xf>
    <xf numFmtId="43" fontId="13" fillId="0" borderId="0" xfId="0" applyNumberFormat="1" applyFont="1"/>
    <xf numFmtId="165" fontId="8" fillId="0" borderId="7" xfId="0" applyNumberFormat="1" applyFont="1" applyBorder="1" applyAlignment="1">
      <alignment horizontal="left" wrapText="1"/>
    </xf>
    <xf numFmtId="43" fontId="8" fillId="0" borderId="1" xfId="0" applyNumberFormat="1" applyFont="1" applyBorder="1" applyAlignment="1">
      <alignment horizontal="right" wrapText="1"/>
    </xf>
    <xf numFmtId="0" fontId="11" fillId="0" borderId="0" xfId="0" applyFont="1"/>
    <xf numFmtId="0" fontId="11" fillId="0" borderId="8" xfId="0" applyFont="1" applyBorder="1" applyAlignment="1">
      <alignment wrapText="1"/>
    </xf>
    <xf numFmtId="164" fontId="11" fillId="0" borderId="0" xfId="0" applyNumberFormat="1" applyFont="1"/>
    <xf numFmtId="166" fontId="11" fillId="0" borderId="0" xfId="0" applyNumberFormat="1" applyFont="1"/>
    <xf numFmtId="0" fontId="11" fillId="0" borderId="7" xfId="0" applyFont="1" applyBorder="1"/>
    <xf numFmtId="0" fontId="8" fillId="0" borderId="1" xfId="0" applyFont="1" applyBorder="1" applyAlignment="1">
      <alignment horizontal="left" vertical="top" wrapText="1"/>
    </xf>
    <xf numFmtId="0" fontId="15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wrapText="1"/>
    </xf>
    <xf numFmtId="43" fontId="9" fillId="0" borderId="1" xfId="0" applyNumberFormat="1" applyFont="1" applyBorder="1" applyAlignment="1">
      <alignment horizontal="center" vertical="center"/>
    </xf>
    <xf numFmtId="43" fontId="9" fillId="2" borderId="1" xfId="0" applyNumberFormat="1" applyFont="1" applyFill="1" applyBorder="1" applyAlignment="1">
      <alignment horizontal="center" vertical="center"/>
    </xf>
    <xf numFmtId="0" fontId="8" fillId="0" borderId="1" xfId="0" applyFont="1" applyBorder="1" applyAlignment="1">
      <alignment horizontal="left" wrapText="1"/>
    </xf>
    <xf numFmtId="43" fontId="8" fillId="0" borderId="1" xfId="0" applyNumberFormat="1" applyFont="1" applyBorder="1" applyAlignment="1">
      <alignment horizontal="center" vertical="center"/>
    </xf>
    <xf numFmtId="0" fontId="15" fillId="0" borderId="1" xfId="0" applyFont="1" applyBorder="1" applyAlignment="1">
      <alignment wrapText="1"/>
    </xf>
    <xf numFmtId="0" fontId="11" fillId="0" borderId="1" xfId="0" applyFont="1" applyBorder="1"/>
    <xf numFmtId="43" fontId="11" fillId="0" borderId="1" xfId="0" applyNumberFormat="1" applyFont="1" applyBorder="1"/>
    <xf numFmtId="43" fontId="8" fillId="0" borderId="1" xfId="0" applyNumberFormat="1" applyFont="1" applyBorder="1" applyAlignment="1">
      <alignment vertical="center"/>
    </xf>
    <xf numFmtId="43" fontId="11" fillId="0" borderId="0" xfId="0" applyNumberFormat="1" applyFont="1"/>
    <xf numFmtId="0" fontId="11" fillId="0" borderId="1" xfId="0" applyFont="1" applyBorder="1" applyAlignment="1">
      <alignment wrapText="1"/>
    </xf>
    <xf numFmtId="0" fontId="11" fillId="0" borderId="1" xfId="0" applyFont="1" applyBorder="1" applyAlignment="1">
      <alignment horizontal="center"/>
    </xf>
    <xf numFmtId="0" fontId="11" fillId="0" borderId="0" xfId="0" applyFont="1" applyAlignment="1">
      <alignment horizontal="center"/>
    </xf>
    <xf numFmtId="0" fontId="9" fillId="0" borderId="1" xfId="0" applyFont="1" applyBorder="1" applyAlignment="1">
      <alignment horizontal="center"/>
    </xf>
    <xf numFmtId="0" fontId="9" fillId="0" borderId="0" xfId="0" applyFont="1" applyAlignment="1">
      <alignment horizontal="center"/>
    </xf>
    <xf numFmtId="0" fontId="9" fillId="3" borderId="1" xfId="0" applyFont="1" applyFill="1" applyBorder="1" applyAlignment="1">
      <alignment vertical="top" wrapText="1"/>
    </xf>
    <xf numFmtId="4" fontId="11" fillId="0" borderId="1" xfId="0" applyNumberFormat="1" applyFont="1" applyBorder="1"/>
    <xf numFmtId="4" fontId="11" fillId="0" borderId="0" xfId="0" applyNumberFormat="1" applyFont="1"/>
    <xf numFmtId="0" fontId="9" fillId="0" borderId="1" xfId="0" applyFont="1" applyBorder="1" applyAlignment="1">
      <alignment vertical="top" wrapText="1"/>
    </xf>
    <xf numFmtId="0" fontId="16" fillId="0" borderId="1" xfId="0" applyFont="1" applyBorder="1" applyAlignment="1">
      <alignment vertical="top" wrapText="1"/>
    </xf>
    <xf numFmtId="167" fontId="11" fillId="0" borderId="1" xfId="0" applyNumberFormat="1" applyFont="1" applyBorder="1"/>
    <xf numFmtId="167" fontId="11" fillId="0" borderId="0" xfId="0" applyNumberFormat="1" applyFont="1"/>
    <xf numFmtId="0" fontId="16" fillId="3" borderId="1" xfId="0" applyFont="1" applyFill="1" applyBorder="1" applyAlignment="1">
      <alignment vertical="top" wrapText="1"/>
    </xf>
    <xf numFmtId="167" fontId="15" fillId="0" borderId="1" xfId="0" applyNumberFormat="1" applyFont="1" applyBorder="1"/>
    <xf numFmtId="167" fontId="15" fillId="0" borderId="0" xfId="0" applyNumberFormat="1" applyFont="1"/>
    <xf numFmtId="0" fontId="17" fillId="0" borderId="0" xfId="10" applyFont="1" applyAlignment="1">
      <alignment horizontal="center" vertical="center" wrapText="1"/>
    </xf>
    <xf numFmtId="0" fontId="5" fillId="0" borderId="0" xfId="10"/>
    <xf numFmtId="43" fontId="10" fillId="0" borderId="0" xfId="10" applyNumberFormat="1" applyFont="1"/>
    <xf numFmtId="0" fontId="17" fillId="0" borderId="0" xfId="10" applyFont="1"/>
    <xf numFmtId="43" fontId="5" fillId="0" borderId="0" xfId="10" applyNumberFormat="1"/>
    <xf numFmtId="43" fontId="10" fillId="0" borderId="0" xfId="1" applyFont="1"/>
    <xf numFmtId="0" fontId="10" fillId="0" borderId="0" xfId="10" applyFont="1" applyAlignment="1">
      <alignment wrapText="1"/>
    </xf>
    <xf numFmtId="43" fontId="10" fillId="0" borderId="0" xfId="10" applyNumberFormat="1" applyFont="1" applyAlignment="1">
      <alignment wrapText="1"/>
    </xf>
    <xf numFmtId="0" fontId="17" fillId="0" borderId="0" xfId="10" applyFont="1" applyAlignment="1">
      <alignment horizontal="center" vertical="center"/>
    </xf>
    <xf numFmtId="43" fontId="9" fillId="6" borderId="1" xfId="0" applyNumberFormat="1" applyFont="1" applyFill="1" applyBorder="1" applyAlignment="1">
      <alignment horizontal="center" vertical="center"/>
    </xf>
    <xf numFmtId="43" fontId="5" fillId="0" borderId="0" xfId="1" applyFont="1"/>
    <xf numFmtId="10" fontId="11" fillId="0" borderId="0" xfId="12" applyNumberFormat="1" applyFont="1"/>
    <xf numFmtId="0" fontId="26" fillId="0" borderId="0" xfId="13" applyFont="1"/>
    <xf numFmtId="0" fontId="27" fillId="0" borderId="0" xfId="13" applyFont="1"/>
    <xf numFmtId="0" fontId="27" fillId="0" borderId="14" xfId="13" applyFont="1" applyBorder="1" applyAlignment="1">
      <alignment horizontal="center" vertical="center" wrapText="1"/>
    </xf>
    <xf numFmtId="0" fontId="27" fillId="0" borderId="14" xfId="13" applyFont="1" applyBorder="1" applyAlignment="1">
      <alignment vertical="center"/>
    </xf>
    <xf numFmtId="0" fontId="28" fillId="0" borderId="2" xfId="13" applyFont="1" applyBorder="1" applyAlignment="1">
      <alignment horizontal="center" vertical="center" wrapText="1"/>
    </xf>
    <xf numFmtId="14" fontId="28" fillId="0" borderId="2" xfId="13" applyNumberFormat="1" applyFont="1" applyBorder="1" applyAlignment="1">
      <alignment horizontal="center" vertical="center" wrapText="1"/>
    </xf>
    <xf numFmtId="168" fontId="28" fillId="0" borderId="2" xfId="13" applyNumberFormat="1" applyFont="1" applyBorder="1" applyAlignment="1">
      <alignment horizontal="center" vertical="center" wrapText="1"/>
    </xf>
    <xf numFmtId="0" fontId="26" fillId="0" borderId="10" xfId="13" applyFont="1" applyBorder="1" applyAlignment="1">
      <alignment horizontal="center" vertical="center" wrapText="1"/>
    </xf>
    <xf numFmtId="0" fontId="26" fillId="0" borderId="10" xfId="13" applyFont="1" applyBorder="1" applyAlignment="1">
      <alignment vertical="center"/>
    </xf>
    <xf numFmtId="0" fontId="29" fillId="0" borderId="10" xfId="13" applyFont="1" applyBorder="1" applyAlignment="1">
      <alignment horizontal="center" vertical="center" wrapText="1"/>
    </xf>
    <xf numFmtId="14" fontId="29" fillId="0" borderId="10" xfId="13" applyNumberFormat="1" applyFont="1" applyBorder="1" applyAlignment="1">
      <alignment horizontal="center" vertical="center" wrapText="1"/>
    </xf>
    <xf numFmtId="169" fontId="29" fillId="0" borderId="10" xfId="14" applyNumberFormat="1" applyFont="1" applyFill="1" applyBorder="1" applyAlignment="1">
      <alignment horizontal="center" vertical="center" wrapText="1"/>
    </xf>
    <xf numFmtId="0" fontId="26" fillId="0" borderId="10" xfId="13" applyFont="1" applyBorder="1" applyAlignment="1">
      <alignment horizontal="center" vertical="center"/>
    </xf>
    <xf numFmtId="0" fontId="26" fillId="0" borderId="0" xfId="13" applyFont="1" applyAlignment="1">
      <alignment horizontal="center"/>
    </xf>
    <xf numFmtId="0" fontId="29" fillId="0" borderId="9" xfId="13" applyFont="1" applyBorder="1"/>
    <xf numFmtId="0" fontId="29" fillId="0" borderId="9" xfId="13" quotePrefix="1" applyFont="1" applyBorder="1" applyAlignment="1">
      <alignment horizontal="center"/>
    </xf>
    <xf numFmtId="14" fontId="29" fillId="0" borderId="9" xfId="13" applyNumberFormat="1" applyFont="1" applyBorder="1" applyAlignment="1">
      <alignment horizontal="center"/>
    </xf>
    <xf numFmtId="169" fontId="29" fillId="0" borderId="9" xfId="14" applyNumberFormat="1" applyFont="1" applyFill="1" applyBorder="1" applyAlignment="1"/>
    <xf numFmtId="0" fontId="29" fillId="0" borderId="1" xfId="13" applyFont="1" applyBorder="1"/>
    <xf numFmtId="0" fontId="29" fillId="0" borderId="1" xfId="13" quotePrefix="1" applyFont="1" applyBorder="1" applyAlignment="1">
      <alignment horizontal="center"/>
    </xf>
    <xf numFmtId="14" fontId="29" fillId="0" borderId="1" xfId="13" applyNumberFormat="1" applyFont="1" applyBorder="1" applyAlignment="1">
      <alignment horizontal="center"/>
    </xf>
    <xf numFmtId="169" fontId="29" fillId="0" borderId="1" xfId="14" applyNumberFormat="1" applyFont="1" applyFill="1" applyBorder="1" applyAlignment="1"/>
    <xf numFmtId="169" fontId="29" fillId="0" borderId="1" xfId="14" applyNumberFormat="1" applyFont="1" applyFill="1" applyBorder="1" applyAlignment="1">
      <alignment horizontal="right"/>
    </xf>
    <xf numFmtId="0" fontId="26" fillId="0" borderId="10" xfId="13" applyFont="1" applyBorder="1"/>
    <xf numFmtId="0" fontId="29" fillId="0" borderId="7" xfId="13" quotePrefix="1" applyFont="1" applyBorder="1" applyAlignment="1">
      <alignment horizontal="center"/>
    </xf>
    <xf numFmtId="0" fontId="27" fillId="0" borderId="10" xfId="13" applyFont="1" applyBorder="1" applyAlignment="1">
      <alignment horizontal="left"/>
    </xf>
    <xf numFmtId="0" fontId="27" fillId="0" borderId="10" xfId="13" applyFont="1" applyBorder="1" applyAlignment="1">
      <alignment horizontal="center"/>
    </xf>
    <xf numFmtId="168" fontId="27" fillId="0" borderId="10" xfId="15" applyNumberFormat="1" applyFont="1" applyFill="1" applyBorder="1"/>
    <xf numFmtId="168" fontId="26" fillId="0" borderId="0" xfId="13" applyNumberFormat="1" applyFont="1"/>
    <xf numFmtId="169" fontId="26" fillId="0" borderId="0" xfId="14" applyNumberFormat="1" applyFont="1" applyFill="1"/>
    <xf numFmtId="169" fontId="26" fillId="0" borderId="0" xfId="13" applyNumberFormat="1" applyFont="1"/>
    <xf numFmtId="0" fontId="27" fillId="0" borderId="10" xfId="13" applyFont="1" applyBorder="1" applyAlignment="1">
      <alignment horizontal="center" vertical="center" wrapText="1"/>
    </xf>
    <xf numFmtId="0" fontId="27" fillId="0" borderId="10" xfId="13" applyFont="1" applyBorder="1" applyAlignment="1">
      <alignment vertical="center"/>
    </xf>
    <xf numFmtId="0" fontId="27" fillId="0" borderId="10" xfId="13" applyFont="1" applyBorder="1" applyAlignment="1">
      <alignment horizontal="center" vertical="center"/>
    </xf>
    <xf numFmtId="0" fontId="27" fillId="0" borderId="10" xfId="13" applyFont="1" applyBorder="1" applyAlignment="1">
      <alignment horizontal="center" wrapText="1"/>
    </xf>
    <xf numFmtId="0" fontId="26" fillId="0" borderId="10" xfId="13" applyFont="1" applyBorder="1" applyAlignment="1">
      <alignment wrapText="1"/>
    </xf>
    <xf numFmtId="169" fontId="26" fillId="0" borderId="10" xfId="14" applyNumberFormat="1" applyFont="1" applyFill="1" applyBorder="1"/>
    <xf numFmtId="0" fontId="26" fillId="0" borderId="10" xfId="13" applyFont="1" applyBorder="1" applyAlignment="1">
      <alignment horizontal="center"/>
    </xf>
    <xf numFmtId="164" fontId="26" fillId="0" borderId="10" xfId="14" applyFont="1" applyFill="1" applyBorder="1"/>
    <xf numFmtId="164" fontId="26" fillId="0" borderId="10" xfId="14" applyFont="1" applyFill="1" applyBorder="1" applyAlignment="1">
      <alignment horizontal="center"/>
    </xf>
    <xf numFmtId="164" fontId="26" fillId="0" borderId="10" xfId="14" quotePrefix="1" applyFont="1" applyFill="1" applyBorder="1" applyAlignment="1">
      <alignment horizontal="center"/>
    </xf>
    <xf numFmtId="169" fontId="27" fillId="0" borderId="10" xfId="13" applyNumberFormat="1" applyFont="1" applyBorder="1"/>
    <xf numFmtId="1" fontId="26" fillId="0" borderId="10" xfId="13" applyNumberFormat="1" applyFont="1" applyBorder="1"/>
    <xf numFmtId="170" fontId="26" fillId="0" borderId="10" xfId="13" applyNumberFormat="1" applyFont="1" applyBorder="1"/>
    <xf numFmtId="9" fontId="10" fillId="0" borderId="0" xfId="12" applyFont="1"/>
    <xf numFmtId="0" fontId="31" fillId="0" borderId="10" xfId="10" applyFont="1" applyBorder="1"/>
    <xf numFmtId="43" fontId="31" fillId="0" borderId="10" xfId="1" applyFont="1" applyBorder="1"/>
    <xf numFmtId="43" fontId="31" fillId="0" borderId="10" xfId="10" applyNumberFormat="1" applyFont="1" applyBorder="1"/>
    <xf numFmtId="0" fontId="31" fillId="0" borderId="10" xfId="10" applyFont="1" applyBorder="1" applyAlignment="1">
      <alignment wrapText="1"/>
    </xf>
    <xf numFmtId="0" fontId="31" fillId="0" borderId="10" xfId="10" applyFont="1" applyBorder="1" applyAlignment="1">
      <alignment vertical="center" wrapText="1"/>
    </xf>
    <xf numFmtId="0" fontId="5" fillId="0" borderId="0" xfId="10" applyAlignment="1">
      <alignment horizontal="center" vertical="center" wrapText="1"/>
    </xf>
    <xf numFmtId="0" fontId="9" fillId="0" borderId="10" xfId="10" applyFont="1" applyBorder="1" applyAlignment="1">
      <alignment horizontal="center" vertical="center" wrapText="1"/>
    </xf>
    <xf numFmtId="43" fontId="9" fillId="0" borderId="10" xfId="1" applyFont="1" applyBorder="1" applyAlignment="1">
      <alignment horizontal="center" vertical="center" wrapText="1"/>
    </xf>
    <xf numFmtId="43" fontId="9" fillId="0" borderId="10" xfId="1" applyFont="1" applyBorder="1"/>
    <xf numFmtId="0" fontId="32" fillId="0" borderId="10" xfId="13" applyFont="1" applyBorder="1" applyAlignment="1">
      <alignment horizontal="center" vertical="center" wrapText="1"/>
    </xf>
    <xf numFmtId="43" fontId="32" fillId="0" borderId="10" xfId="1" applyFont="1" applyFill="1" applyBorder="1" applyAlignment="1">
      <alignment horizontal="center" vertical="center" wrapText="1"/>
    </xf>
    <xf numFmtId="43" fontId="31" fillId="0" borderId="10" xfId="1" applyFont="1" applyFill="1" applyBorder="1" applyAlignment="1">
      <alignment horizontal="center"/>
    </xf>
    <xf numFmtId="43" fontId="31" fillId="0" borderId="10" xfId="0" applyNumberFormat="1" applyFont="1" applyBorder="1"/>
    <xf numFmtId="164" fontId="9" fillId="0" borderId="10" xfId="0" applyNumberFormat="1" applyFont="1" applyBorder="1"/>
    <xf numFmtId="43" fontId="31" fillId="0" borderId="10" xfId="10" applyNumberFormat="1" applyFont="1" applyBorder="1" applyAlignment="1">
      <alignment wrapText="1"/>
    </xf>
    <xf numFmtId="14" fontId="31" fillId="0" borderId="10" xfId="10" applyNumberFormat="1" applyFont="1" applyBorder="1"/>
    <xf numFmtId="0" fontId="9" fillId="0" borderId="10" xfId="10" applyFont="1" applyBorder="1"/>
    <xf numFmtId="43" fontId="9" fillId="0" borderId="10" xfId="10" applyNumberFormat="1" applyFont="1" applyBorder="1"/>
    <xf numFmtId="0" fontId="9" fillId="0" borderId="10" xfId="10" applyFont="1" applyBorder="1" applyAlignment="1">
      <alignment horizontal="center" vertical="center"/>
    </xf>
    <xf numFmtId="43" fontId="31" fillId="0" borderId="10" xfId="1" applyFont="1" applyBorder="1" applyAlignment="1">
      <alignment horizontal="right"/>
    </xf>
    <xf numFmtId="43" fontId="12" fillId="2" borderId="9" xfId="0" applyNumberFormat="1" applyFont="1" applyFill="1" applyBorder="1" applyAlignment="1">
      <alignment wrapText="1"/>
    </xf>
    <xf numFmtId="43" fontId="12" fillId="0" borderId="9" xfId="0" applyNumberFormat="1" applyFont="1" applyBorder="1" applyAlignment="1">
      <alignment horizontal="right" wrapText="1"/>
    </xf>
    <xf numFmtId="43" fontId="12" fillId="2" borderId="10" xfId="0" applyNumberFormat="1" applyFont="1" applyFill="1" applyBorder="1" applyAlignment="1">
      <alignment horizontal="right" wrapText="1"/>
    </xf>
    <xf numFmtId="43" fontId="12" fillId="0" borderId="10" xfId="0" applyNumberFormat="1" applyFont="1" applyBorder="1" applyAlignment="1">
      <alignment horizontal="right" wrapText="1"/>
    </xf>
    <xf numFmtId="43" fontId="12" fillId="2" borderId="10" xfId="0" applyNumberFormat="1" applyFont="1" applyFill="1" applyBorder="1" applyAlignment="1">
      <alignment wrapText="1"/>
    </xf>
    <xf numFmtId="0" fontId="32" fillId="0" borderId="12" xfId="32" applyFont="1" applyBorder="1" applyAlignment="1">
      <alignment horizontal="center" vertical="center" wrapText="1"/>
    </xf>
    <xf numFmtId="0" fontId="32" fillId="0" borderId="12" xfId="32" applyFont="1" applyBorder="1" applyAlignment="1">
      <alignment horizontal="left" vertical="center" wrapText="1"/>
    </xf>
    <xf numFmtId="0" fontId="31" fillId="0" borderId="0" xfId="32" applyFont="1" applyAlignment="1">
      <alignment vertical="center"/>
    </xf>
    <xf numFmtId="0" fontId="33" fillId="0" borderId="10" xfId="32" applyFont="1" applyBorder="1" applyAlignment="1">
      <alignment horizontal="center"/>
    </xf>
    <xf numFmtId="0" fontId="33" fillId="0" borderId="10" xfId="32" applyFont="1" applyBorder="1" applyAlignment="1">
      <alignment horizontal="center" wrapText="1"/>
    </xf>
    <xf numFmtId="0" fontId="31" fillId="0" borderId="10" xfId="32" applyFont="1" applyBorder="1" applyAlignment="1">
      <alignment horizontal="center"/>
    </xf>
    <xf numFmtId="164" fontId="31" fillId="0" borderId="10" xfId="33" applyFont="1" applyFill="1" applyBorder="1" applyAlignment="1">
      <alignment horizontal="center"/>
    </xf>
    <xf numFmtId="164" fontId="33" fillId="0" borderId="10" xfId="33" applyFont="1" applyFill="1" applyBorder="1" applyAlignment="1">
      <alignment horizontal="center" wrapText="1"/>
    </xf>
    <xf numFmtId="0" fontId="31" fillId="0" borderId="12" xfId="32" applyFont="1" applyBorder="1" applyAlignment="1">
      <alignment horizontal="center" vertical="center"/>
    </xf>
    <xf numFmtId="169" fontId="33" fillId="0" borderId="10" xfId="33" applyNumberFormat="1" applyFont="1" applyFill="1" applyBorder="1" applyAlignment="1">
      <alignment horizontal="center" wrapText="1"/>
    </xf>
    <xf numFmtId="169" fontId="31" fillId="0" borderId="10" xfId="33" applyNumberFormat="1" applyFont="1" applyFill="1" applyBorder="1"/>
    <xf numFmtId="14" fontId="33" fillId="0" borderId="10" xfId="33" applyNumberFormat="1" applyFont="1" applyFill="1" applyBorder="1" applyAlignment="1">
      <alignment vertical="center" wrapText="1"/>
    </xf>
    <xf numFmtId="164" fontId="33" fillId="0" borderId="0" xfId="33" applyFont="1" applyFill="1" applyAlignment="1">
      <alignment horizontal="center" wrapText="1"/>
    </xf>
    <xf numFmtId="0" fontId="31" fillId="0" borderId="0" xfId="32" applyFont="1"/>
    <xf numFmtId="164" fontId="31" fillId="7" borderId="10" xfId="33" applyFont="1" applyFill="1" applyBorder="1" applyAlignment="1">
      <alignment horizontal="center"/>
    </xf>
    <xf numFmtId="14" fontId="33" fillId="0" borderId="10" xfId="33" applyNumberFormat="1" applyFont="1" applyFill="1" applyBorder="1" applyAlignment="1">
      <alignment horizontal="center" wrapText="1"/>
    </xf>
    <xf numFmtId="169" fontId="33" fillId="0" borderId="10" xfId="33" applyNumberFormat="1" applyFont="1" applyFill="1" applyBorder="1" applyAlignment="1">
      <alignment horizontal="left" wrapText="1"/>
    </xf>
    <xf numFmtId="0" fontId="34" fillId="0" borderId="0" xfId="32" applyFont="1"/>
    <xf numFmtId="0" fontId="34" fillId="0" borderId="10" xfId="32" applyFont="1" applyBorder="1" applyAlignment="1">
      <alignment horizontal="center"/>
    </xf>
    <xf numFmtId="164" fontId="34" fillId="0" borderId="10" xfId="33" applyFont="1" applyFill="1" applyBorder="1" applyAlignment="1">
      <alignment horizontal="center" wrapText="1"/>
    </xf>
    <xf numFmtId="14" fontId="34" fillId="0" borderId="10" xfId="33" applyNumberFormat="1" applyFont="1" applyFill="1" applyBorder="1" applyAlignment="1">
      <alignment horizontal="center" wrapText="1"/>
    </xf>
    <xf numFmtId="169" fontId="34" fillId="0" borderId="10" xfId="33" applyNumberFormat="1" applyFont="1" applyFill="1" applyBorder="1" applyAlignment="1">
      <alignment horizontal="left" wrapText="1"/>
    </xf>
    <xf numFmtId="0" fontId="33" fillId="7" borderId="10" xfId="32" applyFont="1" applyFill="1" applyBorder="1" applyAlignment="1">
      <alignment horizontal="center"/>
    </xf>
    <xf numFmtId="0" fontId="31" fillId="7" borderId="10" xfId="32" applyFont="1" applyFill="1" applyBorder="1" applyAlignment="1">
      <alignment horizontal="center"/>
    </xf>
    <xf numFmtId="0" fontId="33" fillId="7" borderId="10" xfId="32" applyFont="1" applyFill="1" applyBorder="1" applyAlignment="1">
      <alignment horizontal="center" wrapText="1"/>
    </xf>
    <xf numFmtId="164" fontId="33" fillId="7" borderId="10" xfId="33" applyFont="1" applyFill="1" applyBorder="1" applyAlignment="1">
      <alignment horizontal="center" wrapText="1"/>
    </xf>
    <xf numFmtId="0" fontId="31" fillId="7" borderId="12" xfId="32" applyFont="1" applyFill="1" applyBorder="1" applyAlignment="1">
      <alignment horizontal="center" vertical="center"/>
    </xf>
    <xf numFmtId="169" fontId="33" fillId="7" borderId="10" xfId="33" applyNumberFormat="1" applyFont="1" applyFill="1" applyBorder="1" applyAlignment="1">
      <alignment horizontal="center" wrapText="1"/>
    </xf>
    <xf numFmtId="43" fontId="31" fillId="0" borderId="10" xfId="34" applyFont="1" applyFill="1" applyBorder="1" applyAlignment="1">
      <alignment horizontal="center"/>
    </xf>
    <xf numFmtId="169" fontId="33" fillId="0" borderId="10" xfId="34" applyNumberFormat="1" applyFont="1" applyFill="1" applyBorder="1" applyAlignment="1">
      <alignment horizontal="center" wrapText="1"/>
    </xf>
    <xf numFmtId="43" fontId="31" fillId="7" borderId="10" xfId="34" applyFont="1" applyFill="1" applyBorder="1" applyAlignment="1">
      <alignment horizontal="center"/>
    </xf>
    <xf numFmtId="169" fontId="33" fillId="7" borderId="10" xfId="34" applyNumberFormat="1" applyFont="1" applyFill="1" applyBorder="1" applyAlignment="1">
      <alignment horizontal="center" wrapText="1"/>
    </xf>
    <xf numFmtId="0" fontId="31" fillId="0" borderId="10" xfId="32" applyFont="1" applyBorder="1" applyAlignment="1">
      <alignment horizontal="center" vertical="top"/>
    </xf>
    <xf numFmtId="0" fontId="31" fillId="0" borderId="10" xfId="32" quotePrefix="1" applyFont="1" applyBorder="1" applyAlignment="1">
      <alignment horizontal="center" vertical="top" wrapText="1"/>
    </xf>
    <xf numFmtId="164" fontId="9" fillId="0" borderId="10" xfId="33" applyFont="1" applyFill="1" applyBorder="1" applyAlignment="1">
      <alignment horizontal="center" vertical="center"/>
    </xf>
    <xf numFmtId="169" fontId="9" fillId="0" borderId="10" xfId="33" applyNumberFormat="1" applyFont="1" applyFill="1" applyBorder="1" applyAlignment="1">
      <alignment horizontal="center" vertical="center"/>
    </xf>
    <xf numFmtId="169" fontId="9" fillId="0" borderId="10" xfId="33" applyNumberFormat="1" applyFont="1" applyFill="1" applyBorder="1"/>
    <xf numFmtId="169" fontId="9" fillId="0" borderId="10" xfId="33" applyNumberFormat="1" applyFont="1" applyFill="1" applyBorder="1" applyAlignment="1">
      <alignment horizontal="center" wrapText="1"/>
    </xf>
    <xf numFmtId="169" fontId="9" fillId="0" borderId="10" xfId="33" applyNumberFormat="1" applyFont="1" applyFill="1" applyBorder="1" applyAlignment="1">
      <alignment horizontal="left" wrapText="1"/>
    </xf>
    <xf numFmtId="0" fontId="31" fillId="0" borderId="0" xfId="32" applyFont="1" applyAlignment="1">
      <alignment wrapText="1"/>
    </xf>
    <xf numFmtId="0" fontId="33" fillId="0" borderId="0" xfId="32" applyFont="1"/>
    <xf numFmtId="164" fontId="31" fillId="0" borderId="0" xfId="33" applyFont="1" applyFill="1"/>
    <xf numFmtId="164" fontId="31" fillId="0" borderId="0" xfId="32" applyNumberFormat="1" applyFont="1"/>
    <xf numFmtId="169" fontId="33" fillId="0" borderId="0" xfId="32" applyNumberFormat="1" applyFont="1"/>
    <xf numFmtId="43" fontId="31" fillId="0" borderId="0" xfId="32" applyNumberFormat="1" applyFont="1"/>
    <xf numFmtId="171" fontId="31" fillId="0" borderId="0" xfId="32" applyNumberFormat="1" applyFont="1"/>
    <xf numFmtId="0" fontId="31" fillId="0" borderId="10" xfId="32" applyFont="1" applyBorder="1" applyAlignment="1">
      <alignment wrapText="1"/>
    </xf>
    <xf numFmtId="169" fontId="33" fillId="0" borderId="10" xfId="33" applyNumberFormat="1" applyFont="1" applyFill="1" applyBorder="1"/>
    <xf numFmtId="0" fontId="31" fillId="0" borderId="10" xfId="32" applyFont="1" applyBorder="1"/>
    <xf numFmtId="168" fontId="31" fillId="0" borderId="0" xfId="32" applyNumberFormat="1" applyFont="1"/>
    <xf numFmtId="0" fontId="35" fillId="0" borderId="10" xfId="32" applyFont="1" applyBorder="1" applyAlignment="1">
      <alignment horizontal="left" vertical="top" wrapText="1"/>
    </xf>
    <xf numFmtId="0" fontId="36" fillId="0" borderId="10" xfId="32" applyFont="1" applyBorder="1" applyAlignment="1">
      <alignment vertical="top" wrapText="1"/>
    </xf>
    <xf numFmtId="164" fontId="36" fillId="0" borderId="10" xfId="33" applyFont="1" applyFill="1" applyBorder="1" applyAlignment="1">
      <alignment vertical="top" wrapText="1"/>
    </xf>
    <xf numFmtId="164" fontId="35" fillId="0" borderId="10" xfId="33" applyFont="1" applyFill="1" applyBorder="1" applyAlignment="1">
      <alignment vertical="top" wrapText="1"/>
    </xf>
    <xf numFmtId="0" fontId="32" fillId="0" borderId="10" xfId="32" applyFont="1" applyBorder="1" applyAlignment="1">
      <alignment horizontal="left" vertical="top" wrapText="1"/>
    </xf>
    <xf numFmtId="0" fontId="31" fillId="0" borderId="10" xfId="32" applyFont="1" applyBorder="1" applyAlignment="1">
      <alignment vertical="top" wrapText="1"/>
    </xf>
    <xf numFmtId="0" fontId="37" fillId="0" borderId="10" xfId="32" applyFont="1" applyBorder="1" applyAlignment="1">
      <alignment vertical="top" wrapText="1"/>
    </xf>
    <xf numFmtId="0" fontId="9" fillId="0" borderId="10" xfId="32" applyFont="1" applyBorder="1" applyAlignment="1">
      <alignment horizontal="center" vertical="center"/>
    </xf>
    <xf numFmtId="0" fontId="9" fillId="0" borderId="0" xfId="32" applyFont="1" applyAlignment="1">
      <alignment horizontal="center" vertical="center"/>
    </xf>
    <xf numFmtId="0" fontId="33" fillId="0" borderId="10" xfId="32" applyFont="1" applyBorder="1"/>
    <xf numFmtId="169" fontId="9" fillId="0" borderId="10" xfId="32" applyNumberFormat="1" applyFont="1" applyBorder="1"/>
    <xf numFmtId="0" fontId="32" fillId="0" borderId="10" xfId="32" applyFont="1" applyBorder="1"/>
    <xf numFmtId="0" fontId="32" fillId="0" borderId="0" xfId="32" applyFont="1"/>
    <xf numFmtId="0" fontId="35" fillId="0" borderId="10" xfId="32" applyFont="1" applyBorder="1" applyAlignment="1">
      <alignment horizontal="center" vertical="center" wrapText="1"/>
    </xf>
    <xf numFmtId="0" fontId="35" fillId="0" borderId="10" xfId="32" applyFont="1" applyBorder="1" applyAlignment="1">
      <alignment horizontal="center" vertical="center"/>
    </xf>
    <xf numFmtId="0" fontId="35" fillId="0" borderId="0" xfId="32" applyFont="1" applyAlignment="1">
      <alignment horizontal="center" vertical="center" wrapText="1"/>
    </xf>
    <xf numFmtId="0" fontId="38" fillId="0" borderId="10" xfId="32" applyFont="1" applyBorder="1" applyAlignment="1">
      <alignment horizontal="center" vertical="top" wrapText="1"/>
    </xf>
    <xf numFmtId="0" fontId="39" fillId="0" borderId="10" xfId="32" applyFont="1" applyBorder="1"/>
    <xf numFmtId="0" fontId="38" fillId="0" borderId="10" xfId="32" applyFont="1" applyBorder="1" applyAlignment="1">
      <alignment vertical="top" wrapText="1"/>
    </xf>
    <xf numFmtId="164" fontId="38" fillId="0" borderId="10" xfId="33" applyFont="1" applyFill="1" applyBorder="1" applyAlignment="1">
      <alignment vertical="top" wrapText="1"/>
    </xf>
    <xf numFmtId="0" fontId="38" fillId="0" borderId="0" xfId="32" applyFont="1" applyAlignment="1">
      <alignment vertical="top" wrapText="1"/>
    </xf>
    <xf numFmtId="0" fontId="40" fillId="0" borderId="10" xfId="32" applyFont="1" applyBorder="1" applyAlignment="1">
      <alignment vertical="top" wrapText="1"/>
    </xf>
    <xf numFmtId="0" fontId="40" fillId="0" borderId="0" xfId="32" applyFont="1" applyAlignment="1">
      <alignment vertical="top" wrapText="1"/>
    </xf>
    <xf numFmtId="0" fontId="41" fillId="0" borderId="15" xfId="32" applyFont="1" applyBorder="1" applyAlignment="1">
      <alignment horizontal="left" vertical="top" wrapText="1"/>
    </xf>
    <xf numFmtId="0" fontId="41" fillId="0" borderId="16" xfId="32" applyFont="1" applyBorder="1" applyAlignment="1">
      <alignment horizontal="left" vertical="top" wrapText="1"/>
    </xf>
    <xf numFmtId="0" fontId="31" fillId="0" borderId="16" xfId="32" applyFont="1" applyBorder="1"/>
    <xf numFmtId="0" fontId="31" fillId="0" borderId="17" xfId="32" applyFont="1" applyBorder="1"/>
    <xf numFmtId="0" fontId="31" fillId="0" borderId="15" xfId="32" applyFont="1" applyBorder="1" applyAlignment="1">
      <alignment vertical="top" wrapText="1"/>
    </xf>
    <xf numFmtId="0" fontId="31" fillId="0" borderId="0" xfId="32" applyFont="1" applyAlignment="1">
      <alignment vertical="top" wrapText="1"/>
    </xf>
    <xf numFmtId="0" fontId="31" fillId="0" borderId="18" xfId="32" applyFont="1" applyBorder="1"/>
    <xf numFmtId="0" fontId="31" fillId="0" borderId="19" xfId="32" applyFont="1" applyBorder="1" applyAlignment="1">
      <alignment vertical="top" wrapText="1"/>
    </xf>
    <xf numFmtId="0" fontId="31" fillId="0" borderId="19" xfId="32" applyFont="1" applyBorder="1"/>
    <xf numFmtId="0" fontId="31" fillId="0" borderId="20" xfId="32" applyFont="1" applyBorder="1"/>
    <xf numFmtId="0" fontId="31" fillId="0" borderId="21" xfId="32" applyFont="1" applyBorder="1"/>
    <xf numFmtId="0" fontId="31" fillId="0" borderId="19" xfId="32" applyFont="1" applyBorder="1" applyAlignment="1">
      <alignment wrapText="1"/>
    </xf>
    <xf numFmtId="0" fontId="9" fillId="0" borderId="19" xfId="32" applyFont="1" applyBorder="1"/>
    <xf numFmtId="0" fontId="42" fillId="0" borderId="15" xfId="32" applyFont="1" applyBorder="1" applyAlignment="1">
      <alignment horizontal="left" vertical="top" wrapText="1"/>
    </xf>
    <xf numFmtId="0" fontId="42" fillId="0" borderId="0" xfId="32" applyFont="1" applyAlignment="1">
      <alignment horizontal="left" vertical="top" wrapText="1"/>
    </xf>
    <xf numFmtId="0" fontId="37" fillId="0" borderId="15" xfId="32" applyFont="1" applyBorder="1" applyAlignment="1">
      <alignment vertical="top" wrapText="1"/>
    </xf>
    <xf numFmtId="0" fontId="37" fillId="0" borderId="0" xfId="32" applyFont="1" applyAlignment="1">
      <alignment vertical="top" wrapText="1"/>
    </xf>
    <xf numFmtId="0" fontId="32" fillId="4" borderId="10" xfId="32" applyFont="1" applyFill="1" applyBorder="1" applyAlignment="1">
      <alignment horizontal="center" vertical="center" wrapText="1"/>
    </xf>
    <xf numFmtId="0" fontId="33" fillId="5" borderId="10" xfId="32" applyFont="1" applyFill="1" applyBorder="1" applyAlignment="1">
      <alignment horizontal="center"/>
    </xf>
    <xf numFmtId="0" fontId="33" fillId="5" borderId="10" xfId="32" applyFont="1" applyFill="1" applyBorder="1" applyAlignment="1">
      <alignment horizontal="center" wrapText="1"/>
    </xf>
    <xf numFmtId="0" fontId="31" fillId="5" borderId="10" xfId="32" applyFont="1" applyFill="1" applyBorder="1" applyAlignment="1">
      <alignment horizontal="center"/>
    </xf>
    <xf numFmtId="164" fontId="31" fillId="5" borderId="10" xfId="33" applyFont="1" applyFill="1" applyBorder="1" applyAlignment="1">
      <alignment horizontal="center"/>
    </xf>
    <xf numFmtId="164" fontId="33" fillId="5" borderId="10" xfId="33" applyFont="1" applyFill="1" applyBorder="1" applyAlignment="1">
      <alignment horizontal="center" wrapText="1"/>
    </xf>
    <xf numFmtId="164" fontId="31" fillId="0" borderId="10" xfId="33" applyFont="1" applyBorder="1" applyAlignment="1">
      <alignment horizontal="center"/>
    </xf>
    <xf numFmtId="164" fontId="33" fillId="0" borderId="10" xfId="33" applyFont="1" applyBorder="1" applyAlignment="1">
      <alignment horizontal="center" wrapText="1"/>
    </xf>
    <xf numFmtId="0" fontId="31" fillId="5" borderId="22" xfId="32" applyFont="1" applyFill="1" applyBorder="1" applyAlignment="1">
      <alignment horizontal="center" vertical="center"/>
    </xf>
    <xf numFmtId="0" fontId="31" fillId="0" borderId="22" xfId="32" applyFont="1" applyBorder="1" applyAlignment="1">
      <alignment horizontal="center" vertical="center"/>
    </xf>
    <xf numFmtId="164" fontId="34" fillId="5" borderId="10" xfId="33" applyFont="1" applyFill="1" applyBorder="1" applyAlignment="1">
      <alignment horizontal="center" wrapText="1"/>
    </xf>
    <xf numFmtId="43" fontId="31" fillId="5" borderId="10" xfId="34" applyFont="1" applyFill="1" applyBorder="1" applyAlignment="1">
      <alignment horizontal="center"/>
    </xf>
    <xf numFmtId="43" fontId="31" fillId="0" borderId="10" xfId="34" applyFont="1" applyBorder="1" applyAlignment="1">
      <alignment horizontal="center"/>
    </xf>
    <xf numFmtId="0" fontId="31" fillId="7" borderId="22" xfId="32" applyFont="1" applyFill="1" applyBorder="1" applyAlignment="1">
      <alignment horizontal="center" vertical="center"/>
    </xf>
    <xf numFmtId="0" fontId="9" fillId="0" borderId="10" xfId="0" applyFont="1" applyBorder="1"/>
    <xf numFmtId="169" fontId="33" fillId="5" borderId="10" xfId="33" applyNumberFormat="1" applyFont="1" applyFill="1" applyBorder="1" applyAlignment="1">
      <alignment horizontal="center" wrapText="1"/>
    </xf>
    <xf numFmtId="169" fontId="33" fillId="0" borderId="10" xfId="33" applyNumberFormat="1" applyFont="1" applyBorder="1" applyAlignment="1">
      <alignment horizontal="center" wrapText="1"/>
    </xf>
    <xf numFmtId="169" fontId="33" fillId="0" borderId="10" xfId="34" applyNumberFormat="1" applyFont="1" applyBorder="1" applyAlignment="1">
      <alignment horizontal="center" wrapText="1"/>
    </xf>
    <xf numFmtId="169" fontId="33" fillId="5" borderId="10" xfId="34" applyNumberFormat="1" applyFont="1" applyFill="1" applyBorder="1" applyAlignment="1">
      <alignment horizontal="center" wrapText="1"/>
    </xf>
    <xf numFmtId="164" fontId="34" fillId="0" borderId="10" xfId="33" applyFont="1" applyBorder="1" applyAlignment="1">
      <alignment horizontal="center" wrapText="1"/>
    </xf>
    <xf numFmtId="0" fontId="9" fillId="0" borderId="10" xfId="10" applyFont="1" applyBorder="1" applyAlignment="1">
      <alignment horizontal="center" wrapText="1"/>
    </xf>
    <xf numFmtId="0" fontId="33" fillId="0" borderId="10" xfId="10" applyFont="1" applyBorder="1"/>
    <xf numFmtId="0" fontId="10" fillId="0" borderId="0" xfId="10" applyFont="1" applyAlignment="1">
      <alignment horizontal="center"/>
    </xf>
    <xf numFmtId="0" fontId="24" fillId="0" borderId="0" xfId="10" applyFont="1"/>
    <xf numFmtId="0" fontId="31" fillId="0" borderId="10" xfId="10" applyFont="1" applyBorder="1" applyAlignment="1">
      <alignment horizontal="center" vertical="center" wrapText="1"/>
    </xf>
    <xf numFmtId="14" fontId="31" fillId="0" borderId="10" xfId="10" applyNumberFormat="1" applyFont="1" applyBorder="1" applyAlignment="1">
      <alignment horizontal="center" vertical="center"/>
    </xf>
    <xf numFmtId="43" fontId="31" fillId="0" borderId="10" xfId="10" applyNumberFormat="1" applyFont="1" applyBorder="1" applyAlignment="1">
      <alignment horizontal="center" vertical="center" wrapText="1"/>
    </xf>
    <xf numFmtId="0" fontId="9" fillId="0" borderId="13" xfId="10" applyFont="1" applyBorder="1" applyAlignment="1">
      <alignment horizontal="center"/>
    </xf>
    <xf numFmtId="0" fontId="9" fillId="0" borderId="11" xfId="10" applyFont="1" applyBorder="1" applyAlignment="1">
      <alignment horizontal="center"/>
    </xf>
    <xf numFmtId="0" fontId="9" fillId="0" borderId="10" xfId="0" applyFont="1" applyBorder="1" applyAlignment="1">
      <alignment horizontal="center"/>
    </xf>
    <xf numFmtId="0" fontId="1" fillId="0" borderId="23" xfId="0" applyFont="1" applyBorder="1" applyAlignment="1">
      <alignment horizontal="center"/>
    </xf>
    <xf numFmtId="0" fontId="0" fillId="0" borderId="23" xfId="0" applyBorder="1" applyAlignment="1">
      <alignment horizontal="center"/>
    </xf>
    <xf numFmtId="168" fontId="33" fillId="8" borderId="10" xfId="1" applyNumberFormat="1" applyFont="1" applyFill="1" applyBorder="1" applyAlignment="1">
      <alignment horizontal="center" wrapText="1"/>
    </xf>
    <xf numFmtId="169" fontId="33" fillId="0" borderId="10" xfId="14" applyNumberFormat="1" applyFont="1" applyFill="1" applyBorder="1" applyAlignment="1">
      <alignment horizontal="center" wrapText="1"/>
    </xf>
    <xf numFmtId="168" fontId="31" fillId="8" borderId="10" xfId="1" applyNumberFormat="1" applyFont="1" applyFill="1" applyBorder="1" applyAlignment="1">
      <alignment horizontal="center" wrapText="1"/>
    </xf>
    <xf numFmtId="169" fontId="33" fillId="0" borderId="10" xfId="28" applyNumberFormat="1" applyFont="1" applyFill="1" applyBorder="1" applyAlignment="1">
      <alignment horizontal="center" wrapText="1"/>
    </xf>
    <xf numFmtId="168" fontId="33" fillId="0" borderId="10" xfId="1" applyNumberFormat="1" applyFont="1" applyFill="1" applyBorder="1" applyAlignment="1">
      <alignment horizontal="center" wrapText="1"/>
    </xf>
    <xf numFmtId="168" fontId="33" fillId="7" borderId="10" xfId="1" applyNumberFormat="1" applyFont="1" applyFill="1" applyBorder="1" applyAlignment="1">
      <alignment horizontal="center" wrapText="1"/>
    </xf>
    <xf numFmtId="169" fontId="33" fillId="7" borderId="10" xfId="14" applyNumberFormat="1" applyFont="1" applyFill="1" applyBorder="1" applyAlignment="1">
      <alignment horizontal="center" wrapText="1"/>
    </xf>
    <xf numFmtId="169" fontId="33" fillId="7" borderId="10" xfId="28" applyNumberFormat="1" applyFont="1" applyFill="1" applyBorder="1" applyAlignment="1">
      <alignment horizontal="center" wrapText="1"/>
    </xf>
    <xf numFmtId="0" fontId="32" fillId="4" borderId="10" xfId="32" applyNumberFormat="1" applyFont="1" applyFill="1" applyBorder="1" applyAlignment="1">
      <alignment horizontal="center" vertical="center" wrapText="1"/>
    </xf>
    <xf numFmtId="0" fontId="33" fillId="5" borderId="10" xfId="32" applyNumberFormat="1" applyFont="1" applyFill="1" applyBorder="1" applyAlignment="1">
      <alignment horizontal="center"/>
    </xf>
    <xf numFmtId="0" fontId="33" fillId="5" borderId="10" xfId="32" applyNumberFormat="1" applyFont="1" applyFill="1" applyBorder="1" applyAlignment="1">
      <alignment horizontal="center" wrapText="1"/>
    </xf>
    <xf numFmtId="0" fontId="31" fillId="5" borderId="10" xfId="32" applyNumberFormat="1" applyFont="1" applyFill="1" applyBorder="1" applyAlignment="1">
      <alignment horizontal="center"/>
    </xf>
    <xf numFmtId="0" fontId="33" fillId="0" borderId="10" xfId="32" applyNumberFormat="1" applyFont="1" applyBorder="1" applyAlignment="1">
      <alignment horizontal="center"/>
    </xf>
    <xf numFmtId="0" fontId="33" fillId="0" borderId="10" xfId="32" applyNumberFormat="1" applyFont="1" applyBorder="1" applyAlignment="1">
      <alignment horizontal="center" wrapText="1"/>
    </xf>
    <xf numFmtId="0" fontId="31" fillId="0" borderId="10" xfId="32" applyNumberFormat="1" applyFont="1" applyBorder="1" applyAlignment="1">
      <alignment horizontal="center"/>
    </xf>
    <xf numFmtId="164" fontId="31" fillId="5" borderId="10" xfId="33" applyNumberFormat="1" applyFont="1" applyFill="1" applyBorder="1" applyAlignment="1">
      <alignment horizontal="center"/>
    </xf>
    <xf numFmtId="164" fontId="33" fillId="5" borderId="10" xfId="33" applyNumberFormat="1" applyFont="1" applyFill="1" applyBorder="1" applyAlignment="1">
      <alignment horizontal="center" wrapText="1"/>
    </xf>
    <xf numFmtId="164" fontId="31" fillId="0" borderId="10" xfId="33" applyNumberFormat="1" applyFont="1" applyBorder="1" applyAlignment="1">
      <alignment horizontal="center"/>
    </xf>
    <xf numFmtId="164" fontId="33" fillId="0" borderId="10" xfId="33" applyNumberFormat="1" applyFont="1" applyBorder="1" applyAlignment="1">
      <alignment horizontal="center" wrapText="1"/>
    </xf>
    <xf numFmtId="169" fontId="33" fillId="5" borderId="10" xfId="14" applyNumberFormat="1" applyFont="1" applyFill="1" applyBorder="1" applyAlignment="1">
      <alignment horizontal="center" wrapText="1"/>
    </xf>
    <xf numFmtId="169" fontId="33" fillId="0" borderId="10" xfId="14" applyNumberFormat="1" applyFont="1" applyBorder="1" applyAlignment="1">
      <alignment horizontal="center" wrapText="1"/>
    </xf>
    <xf numFmtId="0" fontId="31" fillId="5" borderId="22" xfId="32" applyNumberFormat="1" applyFont="1" applyFill="1" applyBorder="1" applyAlignment="1">
      <alignment horizontal="center" vertical="center"/>
    </xf>
    <xf numFmtId="0" fontId="31" fillId="0" borderId="22" xfId="32" applyNumberFormat="1" applyFont="1" applyBorder="1" applyAlignment="1">
      <alignment horizontal="center" vertical="center"/>
    </xf>
    <xf numFmtId="164" fontId="34" fillId="5" borderId="10" xfId="33" applyNumberFormat="1" applyFont="1" applyFill="1" applyBorder="1" applyAlignment="1">
      <alignment horizontal="center" wrapText="1"/>
    </xf>
    <xf numFmtId="43" fontId="31" fillId="5" borderId="10" xfId="34" applyNumberFormat="1" applyFont="1" applyFill="1" applyBorder="1" applyAlignment="1">
      <alignment horizontal="center"/>
    </xf>
    <xf numFmtId="43" fontId="31" fillId="0" borderId="10" xfId="34" applyNumberFormat="1" applyFont="1" applyBorder="1" applyAlignment="1">
      <alignment horizontal="center"/>
    </xf>
    <xf numFmtId="169" fontId="33" fillId="0" borderId="10" xfId="28" applyNumberFormat="1" applyFont="1" applyBorder="1" applyAlignment="1">
      <alignment horizontal="center" wrapText="1"/>
    </xf>
    <xf numFmtId="169" fontId="33" fillId="5" borderId="10" xfId="28" applyNumberFormat="1" applyFont="1" applyFill="1" applyBorder="1" applyAlignment="1">
      <alignment horizontal="center" wrapText="1"/>
    </xf>
    <xf numFmtId="0" fontId="33" fillId="7" borderId="10" xfId="32" applyNumberFormat="1" applyFont="1" applyFill="1" applyBorder="1" applyAlignment="1">
      <alignment horizontal="center"/>
    </xf>
    <xf numFmtId="0" fontId="33" fillId="7" borderId="10" xfId="32" applyNumberFormat="1" applyFont="1" applyFill="1" applyBorder="1" applyAlignment="1">
      <alignment horizontal="center" wrapText="1"/>
    </xf>
    <xf numFmtId="0" fontId="31" fillId="7" borderId="10" xfId="32" applyNumberFormat="1" applyFont="1" applyFill="1" applyBorder="1" applyAlignment="1">
      <alignment horizontal="center"/>
    </xf>
    <xf numFmtId="43" fontId="31" fillId="7" borderId="10" xfId="34" applyNumberFormat="1" applyFont="1" applyFill="1" applyBorder="1" applyAlignment="1">
      <alignment horizontal="center"/>
    </xf>
    <xf numFmtId="164" fontId="31" fillId="7" borderId="10" xfId="33" applyNumberFormat="1" applyFont="1" applyFill="1" applyBorder="1" applyAlignment="1">
      <alignment horizontal="center"/>
    </xf>
    <xf numFmtId="164" fontId="33" fillId="7" borderId="10" xfId="33" applyNumberFormat="1" applyFont="1" applyFill="1" applyBorder="1" applyAlignment="1">
      <alignment horizontal="center" wrapText="1"/>
    </xf>
    <xf numFmtId="0" fontId="31" fillId="7" borderId="22" xfId="32" applyNumberFormat="1" applyFont="1" applyFill="1" applyBorder="1" applyAlignment="1">
      <alignment horizontal="center" vertical="center"/>
    </xf>
    <xf numFmtId="168" fontId="33" fillId="5" borderId="10" xfId="1" applyNumberFormat="1" applyFont="1" applyFill="1" applyBorder="1" applyAlignment="1">
      <alignment horizontal="center" wrapText="1"/>
    </xf>
  </cellXfs>
  <cellStyles count="35">
    <cellStyle name="Comma" xfId="1" builtinId="3"/>
    <cellStyle name="Comma 2" xfId="9" xr:uid="{631F8309-6AE2-41E3-9EC9-9ED77D79E5C3}"/>
    <cellStyle name="Comma 2 2" xfId="23" xr:uid="{F8967FED-E98E-498F-9CF3-09F11E63C6CD}"/>
    <cellStyle name="Comma 2 3" xfId="17" xr:uid="{20D6F05B-D860-4071-A7BB-587A92FA05D8}"/>
    <cellStyle name="Comma 2 3 2" xfId="31" xr:uid="{DAC12A39-7790-48CF-B83D-B43507DA5A9F}"/>
    <cellStyle name="Comma 3" xfId="3" xr:uid="{D9F116B9-D684-4380-81DF-8FBA68BBBA59}"/>
    <cellStyle name="Comma 3 2" xfId="19" xr:uid="{E93C0837-D127-41A7-B177-CFAB91DB627A}"/>
    <cellStyle name="Comma 4" xfId="11" xr:uid="{84D4321B-CD27-4A63-B87E-40C2A405C760}"/>
    <cellStyle name="Comma 4 2" xfId="15" xr:uid="{AFDB2596-253F-4851-B5C3-2EAA44D8C830}"/>
    <cellStyle name="Comma 4 2 2" xfId="29" xr:uid="{05BD5959-2312-447C-ABD5-3BE789491A41}"/>
    <cellStyle name="Comma 4 3" xfId="4" xr:uid="{76295783-08B3-489E-AEB6-703D1B6E61ED}"/>
    <cellStyle name="Comma 4 3 2" xfId="20" xr:uid="{3BA4E95E-F006-468D-9D55-12D6D43B7C82}"/>
    <cellStyle name="Comma 4 4" xfId="25" xr:uid="{DE35FE54-0620-422E-AA69-72CAE9C6A921}"/>
    <cellStyle name="Comma 5" xfId="14" xr:uid="{9FB4A57A-FEC3-4002-9FB5-97C5E204CBFA}"/>
    <cellStyle name="Comma 5 2" xfId="28" xr:uid="{3B03E59F-B8DE-46D9-9BBD-687F2707DCAD}"/>
    <cellStyle name="Comma 5 2 2" xfId="34" xr:uid="{F2139A50-8A94-436A-AB1F-F984AE897A6C}"/>
    <cellStyle name="Comma 5 3" xfId="33" xr:uid="{84CE803E-88A9-43B5-B5AD-116C561D7A13}"/>
    <cellStyle name="Comma 6" xfId="18" xr:uid="{6BCC7839-E052-4653-B54B-96915299679F}"/>
    <cellStyle name="Normal" xfId="0" builtinId="0"/>
    <cellStyle name="Normal 2" xfId="5" xr:uid="{1F2CA176-EF15-49EE-9EF6-8AF6F9CD6332}"/>
    <cellStyle name="Normal 3" xfId="6" xr:uid="{9B078BB7-AF73-44E9-9C97-6BD14C5E8145}"/>
    <cellStyle name="Normal 4" xfId="7" xr:uid="{DA94F015-8EA0-489A-AEC1-E20F4F6055D9}"/>
    <cellStyle name="Normal 4 2" xfId="21" xr:uid="{0CEF6737-936E-4BA2-BBBF-47D6006FEC1B}"/>
    <cellStyle name="Normal 5" xfId="8" xr:uid="{D3EFB32C-8B6B-48E9-96A6-ABAD59C38594}"/>
    <cellStyle name="Normal 5 2" xfId="22" xr:uid="{5FEAB5A0-B886-4BCD-A0A6-3E6B7BFAC1F2}"/>
    <cellStyle name="Normal 6" xfId="2" xr:uid="{4D6CFBC7-73D0-46D1-B378-91B5FCF17D31}"/>
    <cellStyle name="Normal 7" xfId="10" xr:uid="{2115D054-488F-4731-841D-BC4C26024B66}"/>
    <cellStyle name="Normal 7 2" xfId="24" xr:uid="{D0009894-8351-423A-92EF-5F4D4FDEFF1A}"/>
    <cellStyle name="Normal 8" xfId="13" xr:uid="{0CFD1918-CEBF-4FAE-9130-0A0F3F8F0406}"/>
    <cellStyle name="Normal 8 2" xfId="27" xr:uid="{EE855F7E-911F-4104-B6BF-E881D46DBE87}"/>
    <cellStyle name="Normal 8 3" xfId="32" xr:uid="{AC3C163A-3570-41F4-BA8D-E5E374149961}"/>
    <cellStyle name="Percent" xfId="12" builtinId="5"/>
    <cellStyle name="Percent 2" xfId="16" xr:uid="{BA3FB7DF-0448-40E1-BF2F-2B8498AE52E3}"/>
    <cellStyle name="Percent 2 2" xfId="30" xr:uid="{D5E9129F-4ADD-4ED4-BB41-C5F4AD1582C9}"/>
    <cellStyle name="Percent 3" xfId="26" xr:uid="{2F2B9F7E-90F2-46A1-B224-AD6C598AE985}"/>
  </cellStyles>
  <dxfs count="31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 Narrow"/>
        <family val="2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 Narrow"/>
        <family val="2"/>
        <scheme val="none"/>
      </font>
      <numFmt numFmtId="169" formatCode="_(* #,##0_);_(* \(#,##0\);_(* &quot;-&quot;??_);_(@_)"/>
      <fill>
        <patternFill patternType="none">
          <fgColor indexed="64"/>
          <bgColor indexed="65"/>
        </patternFill>
      </fill>
      <alignment horizontal="left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 Narrow"/>
        <family val="2"/>
        <scheme val="none"/>
      </font>
      <numFmt numFmtId="19" formatCode="dd/mm/yyyy"/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 Narrow"/>
        <family val="2"/>
        <scheme val="none"/>
      </font>
      <numFmt numFmtId="169" formatCode="_(* #,##0_);_(* \(#,##0\);_(* &quot;-&quot;??_);_(@_)"/>
      <fill>
        <patternFill patternType="none">
          <fgColor indexed="64"/>
          <bgColor indexed="65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 Narrow"/>
        <family val="2"/>
        <scheme val="none"/>
      </font>
      <numFmt numFmtId="169" formatCode="_(* #,##0_);_(* \(#,##0\);_(* &quot;-&quot;??_);_(@_)"/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 Narrow"/>
        <family val="2"/>
        <scheme val="none"/>
      </font>
      <numFmt numFmtId="169" formatCode="_(* #,##0_);_(* \(#,##0\);_(* &quot;-&quot;??_);_(@_)"/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 Narrow"/>
        <family val="2"/>
        <scheme val="none"/>
      </font>
      <numFmt numFmtId="169" formatCode="_(* #,##0_);_(* \(#,##0\);_(* &quot;-&quot;??_);_(@_)"/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 Narrow"/>
        <family val="2"/>
        <scheme val="none"/>
      </font>
      <numFmt numFmtId="164" formatCode="_(* #,##0.00_);_(* \(#,##0.00\);_(* &quot;-&quot;??_);_(@_)"/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 Narrow"/>
        <family val="2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 Narrow"/>
        <family val="2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 Narrow"/>
        <family val="2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 Narrow"/>
        <family val="2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 Narrow"/>
        <family val="2"/>
        <scheme val="none"/>
      </font>
      <numFmt numFmtId="0" formatCode="General"/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 Narrow"/>
        <family val="2"/>
        <scheme val="none"/>
      </font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 Narrow"/>
        <family val="2"/>
        <scheme val="none"/>
      </font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 Narrow"/>
        <family val="2"/>
        <scheme val="none"/>
      </font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 Narrow"/>
        <family val="2"/>
        <scheme val="none"/>
      </font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 Narrow"/>
        <family val="2"/>
        <scheme val="none"/>
      </font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 Narrow"/>
        <family val="2"/>
        <scheme val="none"/>
      </font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 Narrow"/>
        <family val="2"/>
        <scheme val="none"/>
      </font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top style="thin">
          <color indexed="64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 Narrow"/>
        <family val="2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 Narrow"/>
        <family val="2"/>
        <scheme val="none"/>
      </font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ill>
        <patternFill patternType="solid">
          <fgColor rgb="FFDBE5F1"/>
          <bgColor rgb="FFDBE5F1"/>
        </patternFill>
      </fill>
    </dxf>
    <dxf>
      <fill>
        <patternFill patternType="solid">
          <fgColor rgb="FFB8CCE4"/>
          <bgColor rgb="FFB8CCE4"/>
        </patternFill>
      </fill>
    </dxf>
    <dxf>
      <fill>
        <patternFill patternType="solid">
          <fgColor theme="4"/>
          <bgColor theme="4"/>
        </patternFill>
      </fill>
    </dxf>
    <dxf>
      <fill>
        <patternFill patternType="solid">
          <fgColor rgb="FFDBE5F1"/>
          <bgColor rgb="FFDBE5F1"/>
        </patternFill>
      </fill>
    </dxf>
    <dxf>
      <fill>
        <patternFill patternType="solid">
          <fgColor rgb="FFB8CCE4"/>
          <bgColor rgb="FFB8CCE4"/>
        </patternFill>
      </fill>
    </dxf>
    <dxf>
      <fill>
        <patternFill patternType="solid">
          <fgColor theme="4"/>
          <bgColor theme="4"/>
        </patternFill>
      </fill>
    </dxf>
    <dxf>
      <fill>
        <patternFill patternType="solid">
          <fgColor theme="4"/>
          <bgColor theme="4"/>
        </patternFill>
      </fill>
    </dxf>
  </dxfs>
  <tableStyles count="2" defaultTableStyle="TableStyleMedium2" defaultPivotStyle="PivotStyleLight16">
    <tableStyle name="Flatwise &amp; Unsold Inventory-style" pivot="0" count="4" xr9:uid="{82209598-E310-47A0-88AC-0A355FBEE832}">
      <tableStyleElement type="headerRow" dxfId="30"/>
      <tableStyleElement type="totalRow" dxfId="29"/>
      <tableStyleElement type="firstRowStripe" dxfId="28"/>
      <tableStyleElement type="secondRowStripe" dxfId="27"/>
    </tableStyle>
    <tableStyle name="Listing List-style" pivot="0" count="3" xr9:uid="{92228525-6FA8-442A-8329-14FF8E61E2E7}">
      <tableStyleElement type="headerRow" dxfId="26"/>
      <tableStyleElement type="firstRowStripe" dxfId="25"/>
      <tableStyleElement type="secondRowStripe" dxfId="24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B2DBC546-9951-47CA-BA1B-210DA70BB97F}" name="Table1" displayName="Table1" ref="B1:U485" totalsRowShown="0" headerRowDxfId="23" dataDxfId="21" headerRowBorderDxfId="22" tableBorderDxfId="20" headerRowCellStyle="Normal 8" dataCellStyle="Comma 5">
  <autoFilter ref="B1:U485" xr:uid="{E02BABB9-6E79-4CAD-B268-746D363C79B2}">
    <filterColumn colId="12">
      <filters>
        <filter val="MEMBER"/>
        <filter val="MEMBER-Extra"/>
      </filters>
    </filterColumn>
  </autoFilter>
  <tableColumns count="20">
    <tableColumn id="1" xr3:uid="{4E5DC0EC-D97B-4E81-818C-DF15286D2CF2}" name="Sr. No." dataDxfId="19" dataCellStyle="Normal 8"/>
    <tableColumn id="2" xr3:uid="{30073833-63B4-4403-A11A-E5EA3DC210FF}" name="Wing" dataDxfId="18" dataCellStyle="Normal 8"/>
    <tableColumn id="3" xr3:uid="{07D4FECB-9205-4A5C-8AA4-4FF497DC2B21}" name="Floor No." dataDxfId="17" dataCellStyle="Normal 8"/>
    <tableColumn id="4" xr3:uid="{A7F162BD-6EDF-47E1-922C-D5FF665DFEF0}" name="Shop No / Office No. / Flat No." dataDxfId="16" dataCellStyle="Normal 8"/>
    <tableColumn id="5" xr3:uid="{802E231E-61B1-473E-B1DD-712F9C9562B1}" name="Comp." dataDxfId="15" dataCellStyle="Normal 8"/>
    <tableColumn id="6" xr3:uid="{89CC55B9-2142-4F64-A43B-A394FF08C79A}" name="Resi / Comm" dataDxfId="14" dataCellStyle="Normal 8"/>
    <tableColumn id="7" xr3:uid="{82A27468-C7F2-4E2E-8EE0-ACB39FEA7140}" name="Ownership" dataDxfId="13" dataCellStyle="Normal 8"/>
    <tableColumn id="8" xr3:uid="{BF558275-E053-4371-B0BD-329552791C93}" name="No." dataDxfId="12" dataCellStyle="Normal 8">
      <calculatedColumnFormula>Table1[[#This Row],[Wing]]&amp;-Table1[[#This Row],[Shop No / Office No. / Flat No.]]</calculatedColumnFormula>
    </tableColumn>
    <tableColumn id="9" xr3:uid="{D8278212-30D0-47E0-AFEE-63E70EF45F84}" name="RERA Carpet Area (Sq. M.)" dataDxfId="11" dataCellStyle="Comma 5"/>
    <tableColumn id="10" xr3:uid="{2D43A8E1-A2B6-4847-8538-23FD8F15BE8A}" name="RERA Carpet Area (Sq. Ft.)" dataDxfId="10" dataCellStyle="Comma 5"/>
    <tableColumn id="12" xr3:uid="{3561D7F8-4D28-45EC-B91C-0D22DCB44EB4}" name="Built Up Area (Sq Ft)" dataDxfId="9" dataCellStyle="Comma 5"/>
    <tableColumn id="20" xr3:uid="{E38C5660-DB58-4B52-B28E-7F106B62C7D1}" name="Sold / Unsold / Tenant Inventory2" dataDxfId="8" dataCellStyle="Comma 5"/>
    <tableColumn id="11" xr3:uid="{3145BC05-02B6-47C3-8E62-F6E2B53A15FF}" name="CRM" dataDxfId="7" dataCellStyle="Comma 5"/>
    <tableColumn id="22" xr3:uid="{38F8466A-13F1-4765-94D0-EEEDB98FFC4C}" name="Agreement Value as per  Excel" dataDxfId="6" dataCellStyle="Comma 5">
      <calculatedColumnFormula>VLOOKUP(Table1[[#This Row],[No.]],#REF!,3,0)</calculatedColumnFormula>
    </tableColumn>
    <tableColumn id="23" xr3:uid="{4146577B-B334-469B-BB1C-106B6602C14C}" name="Amt Received as per Excel" dataDxfId="5" dataCellStyle="Comma 5 2">
      <calculatedColumnFormula>VLOOKUP(Table1[[#This Row],[No.]],#REF!,4,0)</calculatedColumnFormula>
    </tableColumn>
    <tableColumn id="16" xr3:uid="{F0A2BD1F-CFF1-41B2-A8A0-4FD74FFBA80D}" name="To be Received_x000a_(In Rs)" dataDxfId="4" dataCellStyle="Comma 5"/>
    <tableColumn id="17" xr3:uid="{5043785A-4F9F-443D-B29C-3ECE114D168E}" name="Sale Rate" dataDxfId="3" dataCellStyle="Comma 5"/>
    <tableColumn id="18" xr3:uid="{3CDC109A-6509-4D1D-A98A-3C82D0DD540C}" name="Agreement Date" dataDxfId="2" dataCellStyle="Comma 5"/>
    <tableColumn id="19" xr3:uid="{8147E66F-6F34-42A5-BDBA-DC170EC74676}" name="Customer Name" dataDxfId="1" dataCellStyle="Comma 5"/>
    <tableColumn id="21" xr3:uid="{7787D0BC-B25D-47FB-B8D0-963E8798D189}" name="Column2" dataDxfId="0" dataCellStyle="Comma 5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4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AA1006"/>
  <sheetViews>
    <sheetView tabSelected="1" workbookViewId="0">
      <selection activeCell="C23" sqref="C23"/>
    </sheetView>
  </sheetViews>
  <sheetFormatPr defaultColWidth="12.625" defaultRowHeight="15" customHeight="1" x14ac:dyDescent="0.2"/>
  <cols>
    <col min="1" max="2" width="3.5" customWidth="1"/>
    <col min="3" max="3" width="48.875" bestFit="1" customWidth="1"/>
    <col min="4" max="4" width="14.25" customWidth="1"/>
    <col min="5" max="5" width="10.375" bestFit="1" customWidth="1"/>
    <col min="6" max="6" width="12.125" bestFit="1" customWidth="1"/>
    <col min="7" max="7" width="15" customWidth="1"/>
    <col min="8" max="9" width="14.125" bestFit="1" customWidth="1"/>
    <col min="10" max="10" width="15.875" customWidth="1"/>
    <col min="11" max="11" width="7.625" customWidth="1"/>
    <col min="12" max="13" width="12.625" customWidth="1"/>
    <col min="14" max="14" width="11.75" customWidth="1"/>
    <col min="15" max="26" width="7.625" customWidth="1"/>
  </cols>
  <sheetData>
    <row r="1" spans="1:26" ht="47.25" x14ac:dyDescent="0.25">
      <c r="A1" s="1"/>
      <c r="B1" s="2"/>
      <c r="C1" s="3" t="s">
        <v>0</v>
      </c>
      <c r="D1" s="4" t="s">
        <v>275</v>
      </c>
      <c r="E1" s="4" t="s">
        <v>36</v>
      </c>
      <c r="F1" s="4" t="s">
        <v>37</v>
      </c>
      <c r="G1" s="5" t="s">
        <v>38</v>
      </c>
      <c r="H1" s="6"/>
      <c r="I1" s="7"/>
      <c r="J1" s="8"/>
      <c r="K1" s="9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  <c r="W1" s="10"/>
      <c r="X1" s="10"/>
      <c r="Y1" s="10"/>
      <c r="Z1" s="10"/>
    </row>
    <row r="2" spans="1:26" ht="15.75" x14ac:dyDescent="0.25">
      <c r="A2" s="11"/>
      <c r="B2" s="12"/>
      <c r="C2" s="13" t="s">
        <v>1</v>
      </c>
      <c r="D2" s="142">
        <f>'Land, Stamp Duty and rent cost'!E8/10^7</f>
        <v>2.8587799999999999</v>
      </c>
      <c r="E2" s="143">
        <f t="shared" ref="E2:E11" si="0">F2-D2</f>
        <v>0</v>
      </c>
      <c r="F2" s="15">
        <f t="shared" ref="F2:F11" si="1">G2/10^7</f>
        <v>2.8587799999999999</v>
      </c>
      <c r="G2" s="15">
        <f>'Land, Stamp Duty and rent cost'!E8</f>
        <v>28587800</v>
      </c>
      <c r="H2" s="16">
        <f t="shared" ref="H2:H11" si="2">F2/$F$12%</f>
        <v>0.93867950151875867</v>
      </c>
      <c r="I2" s="17"/>
      <c r="J2" s="18"/>
      <c r="K2" s="19"/>
    </row>
    <row r="3" spans="1:26" ht="15.75" x14ac:dyDescent="0.25">
      <c r="A3" s="11"/>
      <c r="B3" s="12"/>
      <c r="C3" s="21" t="s">
        <v>2</v>
      </c>
      <c r="D3" s="142">
        <v>28.06</v>
      </c>
      <c r="E3" s="143">
        <f t="shared" si="0"/>
        <v>13.138863400000002</v>
      </c>
      <c r="F3" s="15">
        <f t="shared" si="1"/>
        <v>41.1988634</v>
      </c>
      <c r="G3" s="15">
        <f>'Land, Stamp Duty and rent cost'!C33</f>
        <v>411988634</v>
      </c>
      <c r="H3" s="16">
        <f t="shared" si="2"/>
        <v>13.527633661719836</v>
      </c>
      <c r="I3" s="17"/>
      <c r="J3" s="18"/>
      <c r="K3" s="19"/>
      <c r="L3" s="22"/>
      <c r="M3" s="22"/>
      <c r="N3" s="22"/>
      <c r="O3" s="22"/>
      <c r="P3" s="22"/>
      <c r="Q3" s="22"/>
      <c r="R3" s="22"/>
      <c r="S3" s="22"/>
      <c r="T3" s="22"/>
      <c r="U3" s="22"/>
      <c r="V3" s="22"/>
      <c r="W3" s="22"/>
      <c r="X3" s="22"/>
      <c r="Y3" s="22"/>
      <c r="Z3" s="22"/>
    </row>
    <row r="4" spans="1:26" ht="15.75" x14ac:dyDescent="0.25">
      <c r="A4" s="23"/>
      <c r="B4" s="24"/>
      <c r="C4" s="21" t="s">
        <v>3</v>
      </c>
      <c r="D4" s="144">
        <v>139.97</v>
      </c>
      <c r="E4" s="143">
        <f t="shared" si="0"/>
        <v>29.953836499999994</v>
      </c>
      <c r="F4" s="15">
        <f t="shared" si="1"/>
        <v>169.92383649999999</v>
      </c>
      <c r="G4" s="25">
        <f>'Construction Area Statement (2)'!J36</f>
        <v>1699238365</v>
      </c>
      <c r="H4" s="16">
        <f t="shared" si="2"/>
        <v>55.794437536982578</v>
      </c>
      <c r="I4" s="119">
        <f>(D4+D5)/(F4+F5)</f>
        <v>0.81931816020324832</v>
      </c>
      <c r="J4" s="18"/>
      <c r="K4" s="19"/>
    </row>
    <row r="5" spans="1:26" ht="15.75" x14ac:dyDescent="0.25">
      <c r="A5" s="23"/>
      <c r="B5" s="24"/>
      <c r="C5" s="21" t="s">
        <v>182</v>
      </c>
      <c r="D5" s="144">
        <v>11.5</v>
      </c>
      <c r="E5" s="143">
        <f t="shared" si="0"/>
        <v>3.4494000000000007</v>
      </c>
      <c r="F5" s="15">
        <f t="shared" si="1"/>
        <v>14.949400000000001</v>
      </c>
      <c r="G5" s="25">
        <f>'Construction Area Statement (2)'!D2</f>
        <v>149494000</v>
      </c>
      <c r="H5" s="16">
        <f t="shared" si="2"/>
        <v>4.9086307235969651</v>
      </c>
      <c r="I5" s="18"/>
      <c r="J5" s="18"/>
      <c r="K5" s="19"/>
    </row>
    <row r="6" spans="1:26" ht="15.75" x14ac:dyDescent="0.25">
      <c r="A6" s="23"/>
      <c r="B6" s="24"/>
      <c r="C6" s="26" t="s">
        <v>4</v>
      </c>
      <c r="D6" s="142">
        <v>31.09</v>
      </c>
      <c r="E6" s="143">
        <f t="shared" si="0"/>
        <v>5.9006100800001349E-2</v>
      </c>
      <c r="F6" s="15">
        <f t="shared" si="1"/>
        <v>31.149006100800001</v>
      </c>
      <c r="G6" s="25">
        <f>'Permission Charges'!G24</f>
        <v>311490061.00800002</v>
      </c>
      <c r="H6" s="16">
        <f t="shared" si="2"/>
        <v>10.227766221781222</v>
      </c>
      <c r="I6" s="18"/>
      <c r="J6" s="18"/>
      <c r="K6" s="19"/>
    </row>
    <row r="7" spans="1:26" ht="15.75" x14ac:dyDescent="0.25">
      <c r="A7" s="23"/>
      <c r="B7" s="24"/>
      <c r="C7" s="27" t="s">
        <v>5</v>
      </c>
      <c r="D7" s="144">
        <v>1.1200000000000001</v>
      </c>
      <c r="E7" s="143">
        <f t="shared" si="0"/>
        <v>1.6530985</v>
      </c>
      <c r="F7" s="15">
        <f t="shared" si="1"/>
        <v>2.7730985000000001</v>
      </c>
      <c r="G7" s="15">
        <f>ROUND((G5+G4)*1.5%,0)</f>
        <v>27730985</v>
      </c>
      <c r="H7" s="16">
        <f t="shared" si="2"/>
        <v>0.91054600831208332</v>
      </c>
      <c r="I7" s="18"/>
      <c r="J7" s="18"/>
      <c r="K7" s="19"/>
    </row>
    <row r="8" spans="1:26" ht="15.75" x14ac:dyDescent="0.25">
      <c r="A8" s="23"/>
      <c r="B8" s="24"/>
      <c r="C8" s="21" t="s">
        <v>6</v>
      </c>
      <c r="D8" s="144">
        <v>2.62</v>
      </c>
      <c r="E8" s="143">
        <f t="shared" si="0"/>
        <v>2.0018308999999999</v>
      </c>
      <c r="F8" s="15">
        <f t="shared" si="1"/>
        <v>4.6218309</v>
      </c>
      <c r="G8" s="15">
        <f>ROUND((G5+G4)*2.5%,0)</f>
        <v>46218309</v>
      </c>
      <c r="H8" s="16">
        <f t="shared" si="2"/>
        <v>1.5175767024101177</v>
      </c>
      <c r="I8" s="18"/>
      <c r="J8" s="18"/>
      <c r="K8" s="19"/>
    </row>
    <row r="9" spans="1:26" ht="15.75" x14ac:dyDescent="0.25">
      <c r="A9" s="23"/>
      <c r="B9" s="24"/>
      <c r="C9" s="21" t="s">
        <v>7</v>
      </c>
      <c r="D9" s="144">
        <v>5.31</v>
      </c>
      <c r="E9" s="143">
        <f t="shared" si="0"/>
        <v>2.2323516000000003</v>
      </c>
      <c r="F9" s="15">
        <f t="shared" si="1"/>
        <v>7.5423515999999999</v>
      </c>
      <c r="G9" s="15">
        <f>ROUND(G23*2%,0)</f>
        <v>75423516</v>
      </c>
      <c r="H9" s="16">
        <f t="shared" si="2"/>
        <v>2.4765287430887346</v>
      </c>
      <c r="I9" s="18"/>
      <c r="J9" s="18"/>
      <c r="K9" s="19"/>
      <c r="L9" s="28"/>
    </row>
    <row r="10" spans="1:26" ht="15.75" x14ac:dyDescent="0.25">
      <c r="A10" s="11"/>
      <c r="B10" s="12"/>
      <c r="C10" s="27" t="s">
        <v>8</v>
      </c>
      <c r="D10" s="144">
        <v>6.73</v>
      </c>
      <c r="E10" s="143">
        <f t="shared" si="0"/>
        <v>17.259999999999998</v>
      </c>
      <c r="F10" s="15">
        <f t="shared" si="1"/>
        <v>23.99</v>
      </c>
      <c r="G10" s="15">
        <v>239900000</v>
      </c>
      <c r="H10" s="16">
        <f t="shared" si="2"/>
        <v>7.8771088511305596</v>
      </c>
      <c r="I10" s="18"/>
      <c r="J10" s="18"/>
      <c r="K10" s="19"/>
      <c r="L10" s="22"/>
      <c r="M10" s="22"/>
      <c r="N10" s="22"/>
      <c r="O10" s="22"/>
      <c r="P10" s="22"/>
      <c r="Q10" s="22"/>
      <c r="R10" s="22"/>
      <c r="S10" s="22"/>
      <c r="T10" s="22"/>
      <c r="U10" s="22"/>
      <c r="V10" s="22"/>
      <c r="W10" s="22"/>
      <c r="X10" s="22"/>
      <c r="Y10" s="22"/>
      <c r="Z10" s="22"/>
    </row>
    <row r="11" spans="1:26" ht="15.75" x14ac:dyDescent="0.25">
      <c r="A11" s="11"/>
      <c r="B11" s="12"/>
      <c r="C11" s="27" t="s">
        <v>64</v>
      </c>
      <c r="D11" s="140">
        <v>0</v>
      </c>
      <c r="E11" s="141">
        <f t="shared" si="0"/>
        <v>5.5461970999999997</v>
      </c>
      <c r="F11" s="14">
        <f t="shared" si="1"/>
        <v>5.5461970999999997</v>
      </c>
      <c r="G11" s="15">
        <f>ROUND((G4+G5)*3%,0)</f>
        <v>55461971</v>
      </c>
      <c r="H11" s="16">
        <f t="shared" si="2"/>
        <v>1.8210920494591347</v>
      </c>
      <c r="I11" s="18"/>
      <c r="J11" s="18"/>
      <c r="K11" s="19"/>
      <c r="L11" s="22"/>
      <c r="M11" s="22"/>
      <c r="N11" s="22"/>
      <c r="O11" s="22"/>
      <c r="P11" s="22"/>
      <c r="Q11" s="22"/>
      <c r="R11" s="22"/>
      <c r="S11" s="22"/>
      <c r="T11" s="22"/>
      <c r="U11" s="22"/>
      <c r="V11" s="22"/>
      <c r="W11" s="22"/>
      <c r="X11" s="22"/>
      <c r="Y11" s="22"/>
      <c r="Z11" s="22"/>
    </row>
    <row r="12" spans="1:26" ht="15.75" x14ac:dyDescent="0.25">
      <c r="A12" s="23"/>
      <c r="B12" s="24"/>
      <c r="C12" s="29" t="s">
        <v>9</v>
      </c>
      <c r="D12" s="30">
        <f>SUM(D2:D11)</f>
        <v>229.25878</v>
      </c>
      <c r="E12" s="30">
        <f>SUM(E2:E11)</f>
        <v>75.294584100799995</v>
      </c>
      <c r="F12" s="30">
        <f>SUM(F2:F11)</f>
        <v>304.55336410080002</v>
      </c>
      <c r="G12" s="30">
        <f>SUM(G2:G11)</f>
        <v>3045533641.0079999</v>
      </c>
      <c r="H12" s="16">
        <f>SUM(H2:H11)</f>
        <v>100</v>
      </c>
      <c r="I12" s="18"/>
      <c r="J12" s="18"/>
      <c r="K12" s="18"/>
    </row>
    <row r="13" spans="1:26" ht="15.75" x14ac:dyDescent="0.25">
      <c r="A13" s="31"/>
      <c r="B13" s="31"/>
      <c r="C13" s="32"/>
      <c r="D13" s="31"/>
      <c r="E13" s="74"/>
      <c r="F13" s="33"/>
      <c r="G13" s="33"/>
      <c r="H13" s="34"/>
      <c r="I13" s="17"/>
      <c r="J13" s="18"/>
      <c r="K13" s="19"/>
    </row>
    <row r="14" spans="1:26" ht="15.75" x14ac:dyDescent="0.25">
      <c r="A14" s="31"/>
      <c r="B14" s="31"/>
      <c r="C14" s="32"/>
      <c r="D14" s="31"/>
      <c r="E14" s="31"/>
      <c r="F14" s="31"/>
      <c r="G14" s="33"/>
      <c r="H14" s="31"/>
      <c r="I14" s="17"/>
      <c r="J14" s="18"/>
      <c r="K14" s="19"/>
    </row>
    <row r="15" spans="1:26" ht="36" customHeight="1" x14ac:dyDescent="0.25">
      <c r="A15" s="31"/>
      <c r="B15" s="35"/>
      <c r="C15" s="36" t="s">
        <v>10</v>
      </c>
      <c r="D15" s="3" t="s">
        <v>274</v>
      </c>
      <c r="E15" s="3" t="s">
        <v>11</v>
      </c>
      <c r="F15" s="37" t="s">
        <v>39</v>
      </c>
      <c r="G15" s="37" t="s">
        <v>40</v>
      </c>
      <c r="H15" s="37" t="s">
        <v>12</v>
      </c>
      <c r="I15" s="37" t="s">
        <v>13</v>
      </c>
    </row>
    <row r="16" spans="1:26" ht="16.5" x14ac:dyDescent="0.25">
      <c r="A16" s="31"/>
      <c r="B16" s="35"/>
      <c r="C16" s="38" t="s">
        <v>66</v>
      </c>
      <c r="D16" s="39">
        <f>'Revised Unsold Inventory'!A29</f>
        <v>28</v>
      </c>
      <c r="E16" s="39">
        <f>'Revised Unsold Inventory'!G30</f>
        <v>16926.712919999994</v>
      </c>
      <c r="F16" s="39">
        <v>24500</v>
      </c>
      <c r="G16" s="39">
        <f>ROUND(E16*F16,0)</f>
        <v>414704467</v>
      </c>
      <c r="H16" s="39">
        <v>0</v>
      </c>
      <c r="I16" s="39">
        <v>0</v>
      </c>
      <c r="J16" s="28"/>
    </row>
    <row r="17" spans="1:27" ht="16.5" x14ac:dyDescent="0.25">
      <c r="A17" s="31"/>
      <c r="B17" s="35"/>
      <c r="C17" s="38" t="s">
        <v>14</v>
      </c>
      <c r="D17" s="40">
        <f>'Revised Sold Inventory'!A131</f>
        <v>129</v>
      </c>
      <c r="E17" s="40">
        <f>'Revised Sold Inventory'!G132</f>
        <v>93151.225440000126</v>
      </c>
      <c r="F17" s="40"/>
      <c r="G17" s="40">
        <f>'Revised Sold Inventory'!K132</f>
        <v>1808579878</v>
      </c>
      <c r="H17" s="72">
        <f>'Revised Sold Inventory'!L132</f>
        <v>738283534</v>
      </c>
      <c r="I17" s="72">
        <f>G17-H17</f>
        <v>1070296344</v>
      </c>
      <c r="J17" s="20"/>
      <c r="K17" s="20"/>
      <c r="L17" s="20"/>
      <c r="M17" s="20"/>
      <c r="N17" s="20"/>
      <c r="O17" s="20"/>
      <c r="P17" s="20"/>
      <c r="Q17" s="20"/>
      <c r="R17" s="20"/>
      <c r="S17" s="20"/>
      <c r="T17" s="20"/>
      <c r="U17" s="20"/>
      <c r="V17" s="20"/>
      <c r="W17" s="20"/>
      <c r="X17" s="20"/>
      <c r="Y17" s="20"/>
      <c r="Z17" s="20"/>
      <c r="AA17" s="20"/>
    </row>
    <row r="18" spans="1:27" ht="16.5" x14ac:dyDescent="0.25">
      <c r="A18" s="31"/>
      <c r="B18" s="35"/>
      <c r="C18" s="38" t="s">
        <v>176</v>
      </c>
      <c r="D18" s="40">
        <f>'Revised Unsold Inventory'!AC16</f>
        <v>15</v>
      </c>
      <c r="E18" s="40">
        <f>'Revised Unsold Inventory'!AI17</f>
        <v>16404.335999999999</v>
      </c>
      <c r="F18" s="39">
        <v>30000</v>
      </c>
      <c r="G18" s="39">
        <f>ROUND(E18*F18,0)</f>
        <v>492130080</v>
      </c>
      <c r="H18" s="72">
        <v>0</v>
      </c>
      <c r="I18" s="72"/>
      <c r="J18" s="20"/>
      <c r="K18" s="20"/>
      <c r="L18" s="20"/>
      <c r="M18" s="20"/>
      <c r="N18" s="20"/>
      <c r="O18" s="20"/>
      <c r="P18" s="20"/>
      <c r="Q18" s="20"/>
      <c r="R18" s="20"/>
      <c r="S18" s="20"/>
      <c r="T18" s="20"/>
      <c r="U18" s="20"/>
      <c r="V18" s="20"/>
      <c r="W18" s="20"/>
      <c r="X18" s="20"/>
      <c r="Y18" s="20"/>
      <c r="Z18" s="20"/>
      <c r="AA18" s="20"/>
    </row>
    <row r="19" spans="1:27" ht="16.5" x14ac:dyDescent="0.25">
      <c r="A19" s="31"/>
      <c r="B19" s="35"/>
      <c r="C19" s="38" t="s">
        <v>177</v>
      </c>
      <c r="D19" s="40">
        <f>'Revised Sold Inventory'!AE26</f>
        <v>24</v>
      </c>
      <c r="E19" s="40">
        <f>'Revised Sold Inventory'!AK27</f>
        <v>16165.482839999997</v>
      </c>
      <c r="F19" s="40"/>
      <c r="G19" s="40">
        <f>'Revised Sold Inventory'!AO27</f>
        <v>306035500</v>
      </c>
      <c r="H19" s="72">
        <f>'Revised Sold Inventory'!AP27</f>
        <v>80262341</v>
      </c>
      <c r="I19" s="72">
        <f t="shared" ref="I19:I22" si="3">G19-H19</f>
        <v>225773159</v>
      </c>
      <c r="J19" s="20"/>
      <c r="K19" s="20"/>
      <c r="L19" s="20"/>
      <c r="M19" s="20"/>
      <c r="N19" s="20"/>
      <c r="O19" s="20"/>
      <c r="P19" s="20"/>
      <c r="Q19" s="20"/>
      <c r="R19" s="20"/>
      <c r="S19" s="20"/>
      <c r="T19" s="20"/>
      <c r="U19" s="20"/>
      <c r="V19" s="20"/>
      <c r="W19" s="20"/>
      <c r="X19" s="20"/>
      <c r="Y19" s="20"/>
      <c r="Z19" s="20"/>
      <c r="AA19" s="20"/>
    </row>
    <row r="20" spans="1:27" ht="16.5" x14ac:dyDescent="0.25">
      <c r="A20" s="31"/>
      <c r="B20" s="35"/>
      <c r="C20" s="38" t="s">
        <v>178</v>
      </c>
      <c r="D20" s="40">
        <f>'Revised Unsold Inventory'!O5</f>
        <v>4</v>
      </c>
      <c r="E20" s="40">
        <f>'Revised Unsold Inventory'!U6</f>
        <v>1079.6291999999999</v>
      </c>
      <c r="F20" s="39">
        <v>38000</v>
      </c>
      <c r="G20" s="39">
        <f>ROUND(E20*F20,0)</f>
        <v>41025910</v>
      </c>
      <c r="H20" s="72">
        <v>0</v>
      </c>
      <c r="I20" s="72">
        <v>0</v>
      </c>
      <c r="J20" s="20"/>
      <c r="K20" s="20"/>
      <c r="L20" s="20"/>
      <c r="M20" s="20"/>
      <c r="N20" s="20"/>
      <c r="O20" s="20"/>
      <c r="P20" s="20"/>
      <c r="Q20" s="20"/>
      <c r="R20" s="20"/>
      <c r="S20" s="20"/>
      <c r="T20" s="20"/>
      <c r="U20" s="20"/>
      <c r="V20" s="20"/>
      <c r="W20" s="20"/>
      <c r="X20" s="20"/>
      <c r="Y20" s="20"/>
      <c r="Z20" s="20"/>
      <c r="AA20" s="20"/>
    </row>
    <row r="21" spans="1:27" ht="16.5" x14ac:dyDescent="0.25">
      <c r="A21" s="31"/>
      <c r="B21" s="35"/>
      <c r="C21" s="38" t="s">
        <v>179</v>
      </c>
      <c r="D21" s="40">
        <f>'Revised Sold Inventory'!S41</f>
        <v>43</v>
      </c>
      <c r="E21" s="40">
        <f>'Revised Sold Inventory'!V42</f>
        <v>28065.730679999993</v>
      </c>
      <c r="F21" s="40"/>
      <c r="G21" s="40">
        <f>'Revised Sold Inventory'!Z42</f>
        <v>514500000</v>
      </c>
      <c r="H21" s="72">
        <f>'Revised Sold Inventory'!AA42</f>
        <v>268065731</v>
      </c>
      <c r="I21" s="72">
        <f t="shared" si="3"/>
        <v>246434269</v>
      </c>
      <c r="J21" s="20"/>
      <c r="K21" s="20"/>
      <c r="L21" s="20"/>
      <c r="M21" s="20"/>
      <c r="N21" s="20"/>
      <c r="O21" s="20"/>
      <c r="P21" s="20"/>
      <c r="Q21" s="20"/>
      <c r="R21" s="20"/>
      <c r="S21" s="20"/>
      <c r="T21" s="20"/>
      <c r="U21" s="20"/>
      <c r="V21" s="20"/>
      <c r="W21" s="20"/>
      <c r="X21" s="20"/>
      <c r="Y21" s="20"/>
      <c r="Z21" s="20"/>
      <c r="AA21" s="20"/>
    </row>
    <row r="22" spans="1:27" ht="16.5" x14ac:dyDescent="0.25">
      <c r="A22" s="31"/>
      <c r="B22" s="35"/>
      <c r="C22" s="38" t="s">
        <v>277</v>
      </c>
      <c r="D22" s="40">
        <f>'Revised Tenant Inventory'!A217</f>
        <v>216</v>
      </c>
      <c r="E22" s="40">
        <f>'Revised Tenant Inventory'!G218</f>
        <v>102299.87196000011</v>
      </c>
      <c r="F22" s="40"/>
      <c r="G22" s="40">
        <f>'Revised Tenant Inventory'!K218</f>
        <v>194199968</v>
      </c>
      <c r="H22" s="72">
        <f>'Revised Tenant Inventory'!L218</f>
        <v>98502191</v>
      </c>
      <c r="I22" s="72">
        <f t="shared" si="3"/>
        <v>95697777</v>
      </c>
      <c r="J22" s="20"/>
      <c r="K22" s="20"/>
      <c r="L22" s="20"/>
      <c r="M22" s="20"/>
      <c r="N22" s="20"/>
      <c r="O22" s="20"/>
      <c r="P22" s="20"/>
      <c r="Q22" s="20"/>
      <c r="R22" s="20"/>
      <c r="S22" s="20"/>
      <c r="T22" s="20"/>
      <c r="U22" s="20"/>
      <c r="V22" s="20"/>
      <c r="W22" s="20"/>
      <c r="X22" s="20"/>
      <c r="Y22" s="20"/>
      <c r="Z22" s="20"/>
      <c r="AA22" s="20"/>
    </row>
    <row r="23" spans="1:27" ht="16.5" x14ac:dyDescent="0.25">
      <c r="A23" s="31"/>
      <c r="B23" s="35"/>
      <c r="C23" s="41" t="s">
        <v>15</v>
      </c>
      <c r="D23" s="42">
        <f>SUM(D16:D22)</f>
        <v>459</v>
      </c>
      <c r="E23" s="42">
        <f>SUM(E16:E22)</f>
        <v>274092.98904000025</v>
      </c>
      <c r="F23" s="39"/>
      <c r="G23" s="39">
        <f>SUM(G16:G22)</f>
        <v>3771175803</v>
      </c>
      <c r="H23" s="39">
        <f t="shared" ref="H23:I23" si="4">SUM(H16:H22)</f>
        <v>1185113797</v>
      </c>
      <c r="I23" s="39">
        <f t="shared" si="4"/>
        <v>1638201549</v>
      </c>
    </row>
    <row r="24" spans="1:27" ht="15.75" x14ac:dyDescent="0.25">
      <c r="A24" s="31"/>
      <c r="B24" s="35"/>
      <c r="C24" s="43" t="s">
        <v>16</v>
      </c>
      <c r="D24" s="44"/>
      <c r="E24" s="44"/>
      <c r="F24" s="45"/>
      <c r="G24" s="46">
        <f t="shared" ref="G24:I24" si="5">G23/10^7</f>
        <v>377.11758029999999</v>
      </c>
      <c r="H24" s="46">
        <f t="shared" si="5"/>
        <v>118.51137970000001</v>
      </c>
      <c r="I24" s="46">
        <f t="shared" si="5"/>
        <v>163.82015490000001</v>
      </c>
    </row>
    <row r="25" spans="1:27" ht="15.75" customHeight="1" x14ac:dyDescent="0.25">
      <c r="A25" s="31"/>
      <c r="B25" s="31"/>
      <c r="C25" s="32"/>
      <c r="D25" s="31"/>
      <c r="E25" s="31"/>
      <c r="F25" s="47"/>
      <c r="G25" s="31"/>
      <c r="I25" s="18"/>
      <c r="J25" s="18"/>
      <c r="K25" s="19"/>
    </row>
    <row r="26" spans="1:27" ht="15.75" customHeight="1" x14ac:dyDescent="0.25">
      <c r="A26" s="31"/>
      <c r="B26" s="31"/>
      <c r="C26" s="48"/>
      <c r="D26" s="49"/>
      <c r="E26" s="50"/>
      <c r="F26" s="28"/>
      <c r="G26" s="18"/>
      <c r="H26" s="18"/>
      <c r="I26" s="19"/>
    </row>
    <row r="27" spans="1:27" ht="15.75" customHeight="1" x14ac:dyDescent="0.3">
      <c r="A27" s="31"/>
      <c r="B27" s="35"/>
      <c r="C27" s="43" t="s">
        <v>10</v>
      </c>
      <c r="D27" s="51" t="s">
        <v>41</v>
      </c>
      <c r="E27" s="52"/>
      <c r="G27" s="18"/>
      <c r="H27" s="18"/>
      <c r="I27" s="19"/>
    </row>
    <row r="28" spans="1:27" ht="15.75" customHeight="1" x14ac:dyDescent="0.25">
      <c r="A28" s="31"/>
      <c r="B28" s="35"/>
      <c r="C28" s="53" t="s">
        <v>17</v>
      </c>
      <c r="D28" s="54">
        <f>G24</f>
        <v>377.11758029999999</v>
      </c>
      <c r="E28" s="55"/>
      <c r="G28" s="18"/>
      <c r="H28" s="18"/>
      <c r="I28" s="19"/>
    </row>
    <row r="29" spans="1:27" ht="15.75" customHeight="1" x14ac:dyDescent="0.25">
      <c r="A29" s="31"/>
      <c r="B29" s="35"/>
      <c r="C29" s="56" t="s">
        <v>18</v>
      </c>
      <c r="D29" s="54">
        <f>F12</f>
        <v>304.55336410080002</v>
      </c>
      <c r="E29" s="55"/>
      <c r="G29" s="18"/>
      <c r="H29" s="18"/>
      <c r="I29" s="19"/>
    </row>
    <row r="30" spans="1:27" ht="15.75" customHeight="1" x14ac:dyDescent="0.25">
      <c r="A30" s="31"/>
      <c r="B30" s="35"/>
      <c r="C30" s="53" t="s">
        <v>19</v>
      </c>
      <c r="D30" s="54">
        <f>D28-D29</f>
        <v>72.564216199199961</v>
      </c>
      <c r="E30" s="55"/>
      <c r="G30" s="18"/>
      <c r="H30" s="18"/>
      <c r="I30" s="19"/>
    </row>
    <row r="31" spans="1:27" ht="15.75" customHeight="1" x14ac:dyDescent="0.25">
      <c r="A31" s="31"/>
      <c r="B31" s="35"/>
      <c r="C31" s="43"/>
      <c r="D31" s="44"/>
      <c r="E31" s="31"/>
      <c r="G31" s="18"/>
      <c r="H31" s="18"/>
      <c r="I31" s="19"/>
    </row>
    <row r="32" spans="1:27" ht="15.75" customHeight="1" x14ac:dyDescent="0.25">
      <c r="A32" s="31"/>
      <c r="B32" s="35"/>
      <c r="C32" s="53" t="s">
        <v>20</v>
      </c>
      <c r="D32" s="44"/>
      <c r="E32" s="31"/>
      <c r="G32" s="18"/>
      <c r="H32" s="18"/>
      <c r="I32" s="19"/>
    </row>
    <row r="33" spans="1:11" ht="15.75" customHeight="1" x14ac:dyDescent="0.25">
      <c r="A33" s="31"/>
      <c r="B33" s="35"/>
      <c r="C33" s="56" t="s">
        <v>21</v>
      </c>
      <c r="D33" s="44">
        <f>ROUND(D30*0.3,2)</f>
        <v>21.77</v>
      </c>
      <c r="E33" s="31"/>
      <c r="G33" s="18"/>
      <c r="H33" s="18"/>
      <c r="I33" s="19"/>
    </row>
    <row r="34" spans="1:11" ht="15.75" customHeight="1" x14ac:dyDescent="0.25">
      <c r="A34" s="31"/>
      <c r="B34" s="35"/>
      <c r="C34" s="53" t="s">
        <v>22</v>
      </c>
      <c r="D34" s="54">
        <f>D30-D33</f>
        <v>50.794216199199965</v>
      </c>
      <c r="E34" s="55"/>
      <c r="G34" s="18"/>
      <c r="H34" s="18"/>
      <c r="I34" s="19"/>
    </row>
    <row r="35" spans="1:11" ht="15.75" customHeight="1" x14ac:dyDescent="0.25">
      <c r="A35" s="31"/>
      <c r="B35" s="35"/>
      <c r="C35" s="57" t="s">
        <v>256</v>
      </c>
      <c r="D35" s="58">
        <f>PV(8%,2,0,-D34)</f>
        <v>43.547853394375821</v>
      </c>
      <c r="E35" s="59"/>
      <c r="G35" s="18"/>
      <c r="H35" s="18"/>
      <c r="I35" s="19"/>
    </row>
    <row r="36" spans="1:11" ht="15.75" customHeight="1" x14ac:dyDescent="0.25">
      <c r="A36" s="31"/>
      <c r="B36" s="35"/>
      <c r="C36" s="60" t="s">
        <v>23</v>
      </c>
      <c r="D36" s="44"/>
      <c r="E36" s="31"/>
      <c r="G36" s="18"/>
      <c r="H36" s="18"/>
      <c r="I36" s="19"/>
    </row>
    <row r="37" spans="1:11" ht="15.75" customHeight="1" x14ac:dyDescent="0.25">
      <c r="A37" s="31"/>
      <c r="B37" s="35"/>
      <c r="C37" s="57" t="s">
        <v>24</v>
      </c>
      <c r="D37" s="45">
        <f>D12</f>
        <v>229.25878</v>
      </c>
      <c r="E37" s="47"/>
      <c r="G37" s="18"/>
      <c r="H37" s="18"/>
      <c r="I37" s="19"/>
    </row>
    <row r="38" spans="1:11" ht="15.75" customHeight="1" x14ac:dyDescent="0.25">
      <c r="A38" s="31"/>
      <c r="B38" s="35"/>
      <c r="C38" s="57" t="s">
        <v>25</v>
      </c>
      <c r="D38" s="44"/>
      <c r="E38" s="31"/>
      <c r="G38" s="18"/>
      <c r="H38" s="18"/>
      <c r="I38" s="19"/>
    </row>
    <row r="39" spans="1:11" ht="15.75" customHeight="1" x14ac:dyDescent="0.25">
      <c r="A39" s="31"/>
      <c r="B39" s="35"/>
      <c r="C39" s="60" t="s">
        <v>26</v>
      </c>
      <c r="D39" s="45">
        <f>H24</f>
        <v>118.51137970000001</v>
      </c>
      <c r="E39" s="47"/>
      <c r="G39" s="18"/>
      <c r="H39" s="18"/>
      <c r="I39" s="19"/>
    </row>
    <row r="40" spans="1:11" ht="15.75" customHeight="1" x14ac:dyDescent="0.25">
      <c r="A40" s="31"/>
      <c r="B40" s="35"/>
      <c r="C40" s="48"/>
      <c r="D40" s="44"/>
      <c r="E40" s="31"/>
      <c r="G40" s="18"/>
      <c r="H40" s="18"/>
      <c r="I40" s="19"/>
    </row>
    <row r="41" spans="1:11" ht="15.75" customHeight="1" x14ac:dyDescent="0.25">
      <c r="A41" s="31"/>
      <c r="B41" s="35"/>
      <c r="C41" s="57" t="s">
        <v>27</v>
      </c>
      <c r="D41" s="61">
        <f>D35+D37-D39</f>
        <v>154.29525369437579</v>
      </c>
      <c r="E41" s="62"/>
      <c r="G41" s="18"/>
      <c r="H41" s="18"/>
      <c r="I41" s="19"/>
    </row>
    <row r="42" spans="1:11" ht="15.75" customHeight="1" x14ac:dyDescent="0.25">
      <c r="A42" s="31"/>
      <c r="B42" s="35"/>
      <c r="C42" s="60" t="s">
        <v>28</v>
      </c>
      <c r="D42" s="61">
        <f>D41*0.9</f>
        <v>138.8657283249382</v>
      </c>
      <c r="E42" s="62"/>
      <c r="G42" s="18"/>
      <c r="H42" s="18"/>
      <c r="I42" s="19"/>
    </row>
    <row r="43" spans="1:11" ht="15.75" customHeight="1" x14ac:dyDescent="0.25">
      <c r="A43" s="31"/>
      <c r="B43" s="35"/>
      <c r="C43" s="57" t="s">
        <v>29</v>
      </c>
      <c r="D43" s="61">
        <f>D41*0.8</f>
        <v>123.43620295550063</v>
      </c>
      <c r="E43" s="62"/>
      <c r="G43" s="18"/>
      <c r="H43" s="18"/>
      <c r="I43" s="19"/>
    </row>
    <row r="44" spans="1:11" ht="15.75" customHeight="1" x14ac:dyDescent="0.25">
      <c r="C44" s="10"/>
      <c r="I44" s="18"/>
      <c r="J44" s="18"/>
      <c r="K44" s="19"/>
    </row>
    <row r="45" spans="1:11" ht="15.75" customHeight="1" x14ac:dyDescent="0.25">
      <c r="C45" s="10"/>
      <c r="I45" s="18"/>
      <c r="J45" s="18"/>
      <c r="K45" s="19"/>
    </row>
    <row r="46" spans="1:11" ht="15.75" customHeight="1" x14ac:dyDescent="0.25">
      <c r="C46" s="10"/>
      <c r="I46" s="18"/>
      <c r="J46" s="18"/>
      <c r="K46" s="19"/>
    </row>
    <row r="47" spans="1:11" ht="15.75" customHeight="1" x14ac:dyDescent="0.25">
      <c r="C47" s="10"/>
      <c r="I47" s="18"/>
      <c r="J47" s="18"/>
      <c r="K47" s="19"/>
    </row>
    <row r="48" spans="1:11" ht="15.75" customHeight="1" x14ac:dyDescent="0.25">
      <c r="C48" s="10"/>
      <c r="I48" s="18"/>
      <c r="J48" s="18"/>
      <c r="K48" s="19"/>
    </row>
    <row r="49" spans="3:11" ht="15.75" customHeight="1" x14ac:dyDescent="0.25">
      <c r="C49" s="10"/>
      <c r="I49" s="18"/>
      <c r="J49" s="18"/>
      <c r="K49" s="19"/>
    </row>
    <row r="50" spans="3:11" ht="15.75" customHeight="1" x14ac:dyDescent="0.25">
      <c r="C50" s="10"/>
      <c r="I50" s="18"/>
      <c r="J50" s="18"/>
      <c r="K50" s="19"/>
    </row>
    <row r="51" spans="3:11" ht="15.75" customHeight="1" x14ac:dyDescent="0.25">
      <c r="C51" s="10"/>
      <c r="I51" s="18"/>
      <c r="J51" s="18"/>
      <c r="K51" s="19"/>
    </row>
    <row r="52" spans="3:11" ht="15.75" customHeight="1" x14ac:dyDescent="0.25">
      <c r="C52" s="10"/>
      <c r="I52" s="18"/>
      <c r="J52" s="18"/>
      <c r="K52" s="19"/>
    </row>
    <row r="53" spans="3:11" ht="15.75" customHeight="1" x14ac:dyDescent="0.25">
      <c r="C53" s="10"/>
      <c r="I53" s="18"/>
      <c r="J53" s="18"/>
      <c r="K53" s="19"/>
    </row>
    <row r="54" spans="3:11" ht="15.75" customHeight="1" x14ac:dyDescent="0.25">
      <c r="C54" s="10"/>
      <c r="I54" s="18"/>
      <c r="J54" s="18"/>
      <c r="K54" s="19"/>
    </row>
    <row r="55" spans="3:11" ht="15.75" customHeight="1" x14ac:dyDescent="0.25">
      <c r="C55" s="10"/>
      <c r="I55" s="18"/>
      <c r="J55" s="18"/>
      <c r="K55" s="19"/>
    </row>
    <row r="56" spans="3:11" ht="15.75" customHeight="1" x14ac:dyDescent="0.25">
      <c r="C56" s="10"/>
      <c r="I56" s="18"/>
      <c r="J56" s="18"/>
      <c r="K56" s="19"/>
    </row>
    <row r="57" spans="3:11" ht="15.75" customHeight="1" x14ac:dyDescent="0.25">
      <c r="C57" s="10"/>
      <c r="I57" s="18"/>
      <c r="J57" s="18"/>
      <c r="K57" s="19"/>
    </row>
    <row r="58" spans="3:11" ht="15.75" customHeight="1" x14ac:dyDescent="0.25">
      <c r="C58" s="10"/>
      <c r="I58" s="18"/>
      <c r="J58" s="18"/>
      <c r="K58" s="19"/>
    </row>
    <row r="59" spans="3:11" ht="15.75" customHeight="1" x14ac:dyDescent="0.25">
      <c r="C59" s="10"/>
      <c r="I59" s="18"/>
      <c r="J59" s="18"/>
      <c r="K59" s="19"/>
    </row>
    <row r="60" spans="3:11" ht="15.75" customHeight="1" x14ac:dyDescent="0.25">
      <c r="C60" s="10"/>
      <c r="I60" s="18"/>
      <c r="J60" s="18"/>
      <c r="K60" s="19"/>
    </row>
    <row r="61" spans="3:11" ht="15.75" customHeight="1" x14ac:dyDescent="0.25">
      <c r="C61" s="10"/>
      <c r="I61" s="18"/>
      <c r="J61" s="18"/>
      <c r="K61" s="19"/>
    </row>
    <row r="62" spans="3:11" ht="15.75" customHeight="1" x14ac:dyDescent="0.25">
      <c r="C62" s="10"/>
      <c r="I62" s="18"/>
      <c r="J62" s="18"/>
      <c r="K62" s="19"/>
    </row>
    <row r="63" spans="3:11" ht="15.75" customHeight="1" x14ac:dyDescent="0.25">
      <c r="C63" s="10"/>
      <c r="I63" s="18"/>
      <c r="J63" s="18"/>
      <c r="K63" s="19"/>
    </row>
    <row r="64" spans="3:11" ht="15.75" customHeight="1" x14ac:dyDescent="0.25">
      <c r="C64" s="10"/>
      <c r="I64" s="18"/>
      <c r="J64" s="18"/>
      <c r="K64" s="19"/>
    </row>
    <row r="65" spans="3:11" ht="15.75" customHeight="1" x14ac:dyDescent="0.25">
      <c r="C65" s="10"/>
      <c r="I65" s="18"/>
      <c r="J65" s="18"/>
      <c r="K65" s="19"/>
    </row>
    <row r="66" spans="3:11" ht="15.75" customHeight="1" x14ac:dyDescent="0.25">
      <c r="C66" s="10"/>
      <c r="I66" s="18"/>
      <c r="J66" s="18"/>
      <c r="K66" s="19"/>
    </row>
    <row r="67" spans="3:11" ht="15.75" customHeight="1" x14ac:dyDescent="0.25">
      <c r="C67" s="10"/>
      <c r="I67" s="18"/>
      <c r="J67" s="18"/>
      <c r="K67" s="19"/>
    </row>
    <row r="68" spans="3:11" ht="15.75" customHeight="1" x14ac:dyDescent="0.25">
      <c r="C68" s="10"/>
      <c r="I68" s="18"/>
      <c r="J68" s="18"/>
      <c r="K68" s="19"/>
    </row>
    <row r="69" spans="3:11" ht="15.75" customHeight="1" x14ac:dyDescent="0.25">
      <c r="C69" s="10"/>
      <c r="I69" s="18"/>
      <c r="J69" s="18"/>
      <c r="K69" s="19"/>
    </row>
    <row r="70" spans="3:11" ht="15.75" customHeight="1" x14ac:dyDescent="0.25">
      <c r="C70" s="10"/>
      <c r="I70" s="18"/>
      <c r="J70" s="18"/>
      <c r="K70" s="19"/>
    </row>
    <row r="71" spans="3:11" ht="15.75" customHeight="1" x14ac:dyDescent="0.25">
      <c r="C71" s="10"/>
      <c r="I71" s="18"/>
      <c r="J71" s="18"/>
      <c r="K71" s="19"/>
    </row>
    <row r="72" spans="3:11" ht="15.75" customHeight="1" x14ac:dyDescent="0.25">
      <c r="C72" s="10"/>
      <c r="I72" s="18"/>
      <c r="J72" s="18"/>
      <c r="K72" s="19"/>
    </row>
    <row r="73" spans="3:11" ht="15.75" customHeight="1" x14ac:dyDescent="0.25">
      <c r="C73" s="10"/>
      <c r="I73" s="18"/>
      <c r="J73" s="18"/>
      <c r="K73" s="19"/>
    </row>
    <row r="74" spans="3:11" ht="15.75" customHeight="1" x14ac:dyDescent="0.25">
      <c r="C74" s="10"/>
      <c r="I74" s="18"/>
      <c r="J74" s="18"/>
      <c r="K74" s="19"/>
    </row>
    <row r="75" spans="3:11" ht="15.75" customHeight="1" x14ac:dyDescent="0.25">
      <c r="C75" s="10"/>
      <c r="I75" s="18"/>
      <c r="J75" s="18"/>
      <c r="K75" s="19"/>
    </row>
    <row r="76" spans="3:11" ht="15.75" customHeight="1" x14ac:dyDescent="0.25">
      <c r="C76" s="10"/>
      <c r="I76" s="18"/>
      <c r="J76" s="18"/>
      <c r="K76" s="19"/>
    </row>
    <row r="77" spans="3:11" ht="15.75" customHeight="1" x14ac:dyDescent="0.25">
      <c r="C77" s="10"/>
      <c r="I77" s="18"/>
      <c r="J77" s="18"/>
      <c r="K77" s="19"/>
    </row>
    <row r="78" spans="3:11" ht="15.75" customHeight="1" x14ac:dyDescent="0.25">
      <c r="C78" s="10"/>
      <c r="I78" s="18"/>
      <c r="J78" s="18"/>
      <c r="K78" s="19"/>
    </row>
    <row r="79" spans="3:11" ht="15.75" customHeight="1" x14ac:dyDescent="0.25">
      <c r="C79" s="10"/>
      <c r="I79" s="18"/>
      <c r="J79" s="18"/>
      <c r="K79" s="19"/>
    </row>
    <row r="80" spans="3:11" ht="15.75" customHeight="1" x14ac:dyDescent="0.25">
      <c r="C80" s="10"/>
      <c r="I80" s="18"/>
      <c r="J80" s="18"/>
      <c r="K80" s="19"/>
    </row>
    <row r="81" spans="3:11" ht="15.75" customHeight="1" x14ac:dyDescent="0.25">
      <c r="C81" s="10"/>
      <c r="I81" s="18"/>
      <c r="J81" s="18"/>
      <c r="K81" s="19"/>
    </row>
    <row r="82" spans="3:11" ht="15.75" customHeight="1" x14ac:dyDescent="0.25">
      <c r="C82" s="10"/>
      <c r="I82" s="18"/>
      <c r="J82" s="18"/>
      <c r="K82" s="19"/>
    </row>
    <row r="83" spans="3:11" ht="15.75" customHeight="1" x14ac:dyDescent="0.25">
      <c r="C83" s="10"/>
      <c r="I83" s="18"/>
      <c r="J83" s="18"/>
      <c r="K83" s="19"/>
    </row>
    <row r="84" spans="3:11" ht="15.75" customHeight="1" x14ac:dyDescent="0.25">
      <c r="C84" s="10"/>
      <c r="I84" s="18"/>
      <c r="J84" s="18"/>
      <c r="K84" s="19"/>
    </row>
    <row r="85" spans="3:11" ht="15.75" customHeight="1" x14ac:dyDescent="0.25">
      <c r="C85" s="10"/>
      <c r="I85" s="18"/>
      <c r="J85" s="18"/>
      <c r="K85" s="19"/>
    </row>
    <row r="86" spans="3:11" ht="15.75" customHeight="1" x14ac:dyDescent="0.25">
      <c r="C86" s="10"/>
      <c r="I86" s="18"/>
      <c r="J86" s="18"/>
      <c r="K86" s="19"/>
    </row>
    <row r="87" spans="3:11" ht="15.75" customHeight="1" x14ac:dyDescent="0.25">
      <c r="C87" s="10"/>
      <c r="I87" s="18"/>
      <c r="J87" s="18"/>
      <c r="K87" s="19"/>
    </row>
    <row r="88" spans="3:11" ht="15.75" customHeight="1" x14ac:dyDescent="0.25">
      <c r="C88" s="10"/>
      <c r="I88" s="18"/>
      <c r="J88" s="18"/>
      <c r="K88" s="19"/>
    </row>
    <row r="89" spans="3:11" ht="15.75" customHeight="1" x14ac:dyDescent="0.25">
      <c r="C89" s="10"/>
      <c r="I89" s="18"/>
      <c r="J89" s="18"/>
      <c r="K89" s="19"/>
    </row>
    <row r="90" spans="3:11" ht="15.75" customHeight="1" x14ac:dyDescent="0.25">
      <c r="C90" s="10"/>
      <c r="I90" s="18"/>
      <c r="J90" s="18"/>
      <c r="K90" s="19"/>
    </row>
    <row r="91" spans="3:11" ht="15.75" customHeight="1" x14ac:dyDescent="0.25">
      <c r="C91" s="10"/>
      <c r="I91" s="18"/>
      <c r="J91" s="18"/>
      <c r="K91" s="19"/>
    </row>
    <row r="92" spans="3:11" ht="15.75" customHeight="1" x14ac:dyDescent="0.25">
      <c r="C92" s="10"/>
      <c r="I92" s="18"/>
      <c r="J92" s="18"/>
      <c r="K92" s="19"/>
    </row>
    <row r="93" spans="3:11" ht="15.75" customHeight="1" x14ac:dyDescent="0.25">
      <c r="C93" s="10"/>
      <c r="I93" s="18"/>
      <c r="J93" s="18"/>
      <c r="K93" s="19"/>
    </row>
    <row r="94" spans="3:11" ht="15.75" customHeight="1" x14ac:dyDescent="0.25">
      <c r="C94" s="10"/>
      <c r="I94" s="18"/>
      <c r="J94" s="18"/>
      <c r="K94" s="19"/>
    </row>
    <row r="95" spans="3:11" ht="15.75" customHeight="1" x14ac:dyDescent="0.25">
      <c r="C95" s="10"/>
      <c r="I95" s="18"/>
      <c r="J95" s="18"/>
      <c r="K95" s="19"/>
    </row>
    <row r="96" spans="3:11" ht="15.75" customHeight="1" x14ac:dyDescent="0.25">
      <c r="C96" s="10"/>
      <c r="I96" s="18"/>
      <c r="J96" s="18"/>
      <c r="K96" s="19"/>
    </row>
    <row r="97" spans="3:11" ht="15.75" customHeight="1" x14ac:dyDescent="0.25">
      <c r="C97" s="10"/>
      <c r="I97" s="18"/>
      <c r="J97" s="18"/>
      <c r="K97" s="19"/>
    </row>
    <row r="98" spans="3:11" ht="15.75" customHeight="1" x14ac:dyDescent="0.25">
      <c r="C98" s="10"/>
      <c r="I98" s="18"/>
      <c r="J98" s="18"/>
      <c r="K98" s="19"/>
    </row>
    <row r="99" spans="3:11" ht="15.75" customHeight="1" x14ac:dyDescent="0.25">
      <c r="C99" s="10"/>
      <c r="I99" s="18"/>
      <c r="J99" s="18"/>
      <c r="K99" s="19"/>
    </row>
    <row r="100" spans="3:11" ht="15.75" customHeight="1" x14ac:dyDescent="0.25">
      <c r="C100" s="10"/>
      <c r="I100" s="18"/>
      <c r="J100" s="18"/>
      <c r="K100" s="19"/>
    </row>
    <row r="101" spans="3:11" ht="15.75" customHeight="1" x14ac:dyDescent="0.25">
      <c r="C101" s="10"/>
      <c r="I101" s="18"/>
      <c r="J101" s="18"/>
      <c r="K101" s="19"/>
    </row>
    <row r="102" spans="3:11" ht="15.75" customHeight="1" x14ac:dyDescent="0.25">
      <c r="C102" s="10"/>
      <c r="I102" s="18"/>
      <c r="J102" s="18"/>
      <c r="K102" s="19"/>
    </row>
    <row r="103" spans="3:11" ht="15.75" customHeight="1" x14ac:dyDescent="0.25">
      <c r="C103" s="10"/>
      <c r="I103" s="18"/>
      <c r="J103" s="18"/>
      <c r="K103" s="19"/>
    </row>
    <row r="104" spans="3:11" ht="15.75" customHeight="1" x14ac:dyDescent="0.25">
      <c r="C104" s="10"/>
      <c r="I104" s="18"/>
      <c r="J104" s="18"/>
      <c r="K104" s="19"/>
    </row>
    <row r="105" spans="3:11" ht="15.75" customHeight="1" x14ac:dyDescent="0.25">
      <c r="C105" s="10"/>
      <c r="I105" s="18"/>
      <c r="J105" s="18"/>
      <c r="K105" s="19"/>
    </row>
    <row r="106" spans="3:11" ht="15.75" customHeight="1" x14ac:dyDescent="0.25">
      <c r="C106" s="10"/>
      <c r="I106" s="18"/>
      <c r="J106" s="18"/>
      <c r="K106" s="19"/>
    </row>
    <row r="107" spans="3:11" ht="15.75" customHeight="1" x14ac:dyDescent="0.25">
      <c r="C107" s="10"/>
      <c r="I107" s="18"/>
      <c r="J107" s="18"/>
      <c r="K107" s="19"/>
    </row>
    <row r="108" spans="3:11" ht="15.75" customHeight="1" x14ac:dyDescent="0.25">
      <c r="C108" s="10"/>
      <c r="I108" s="18"/>
      <c r="J108" s="18"/>
      <c r="K108" s="19"/>
    </row>
    <row r="109" spans="3:11" ht="15.75" customHeight="1" x14ac:dyDescent="0.25">
      <c r="C109" s="10"/>
      <c r="I109" s="18"/>
      <c r="J109" s="18"/>
      <c r="K109" s="19"/>
    </row>
    <row r="110" spans="3:11" ht="15.75" customHeight="1" x14ac:dyDescent="0.25">
      <c r="C110" s="10"/>
      <c r="I110" s="18"/>
      <c r="J110" s="18"/>
      <c r="K110" s="19"/>
    </row>
    <row r="111" spans="3:11" ht="15.75" customHeight="1" x14ac:dyDescent="0.25">
      <c r="C111" s="10"/>
      <c r="I111" s="18"/>
      <c r="J111" s="18"/>
      <c r="K111" s="19"/>
    </row>
    <row r="112" spans="3:11" ht="15.75" customHeight="1" x14ac:dyDescent="0.25">
      <c r="C112" s="10"/>
      <c r="I112" s="18"/>
      <c r="J112" s="18"/>
      <c r="K112" s="19"/>
    </row>
    <row r="113" spans="3:11" ht="15.75" customHeight="1" x14ac:dyDescent="0.25">
      <c r="C113" s="10"/>
      <c r="I113" s="18"/>
      <c r="J113" s="18"/>
      <c r="K113" s="19"/>
    </row>
    <row r="114" spans="3:11" ht="15.75" customHeight="1" x14ac:dyDescent="0.25">
      <c r="C114" s="10"/>
      <c r="I114" s="18"/>
      <c r="J114" s="18"/>
      <c r="K114" s="19"/>
    </row>
    <row r="115" spans="3:11" ht="15.75" customHeight="1" x14ac:dyDescent="0.25">
      <c r="C115" s="10"/>
      <c r="I115" s="18"/>
      <c r="J115" s="18"/>
      <c r="K115" s="19"/>
    </row>
    <row r="116" spans="3:11" ht="15.75" customHeight="1" x14ac:dyDescent="0.25">
      <c r="C116" s="10"/>
      <c r="I116" s="18"/>
      <c r="J116" s="18"/>
      <c r="K116" s="19"/>
    </row>
    <row r="117" spans="3:11" ht="15.75" customHeight="1" x14ac:dyDescent="0.25">
      <c r="C117" s="10"/>
      <c r="I117" s="18"/>
      <c r="J117" s="18"/>
      <c r="K117" s="19"/>
    </row>
    <row r="118" spans="3:11" ht="15.75" customHeight="1" x14ac:dyDescent="0.25">
      <c r="C118" s="10"/>
      <c r="I118" s="18"/>
      <c r="J118" s="18"/>
      <c r="K118" s="19"/>
    </row>
    <row r="119" spans="3:11" ht="15.75" customHeight="1" x14ac:dyDescent="0.25">
      <c r="C119" s="10"/>
      <c r="I119" s="18"/>
      <c r="J119" s="18"/>
      <c r="K119" s="19"/>
    </row>
    <row r="120" spans="3:11" ht="15.75" customHeight="1" x14ac:dyDescent="0.25">
      <c r="C120" s="10"/>
      <c r="I120" s="18"/>
      <c r="J120" s="18"/>
      <c r="K120" s="19"/>
    </row>
    <row r="121" spans="3:11" ht="15.75" customHeight="1" x14ac:dyDescent="0.25">
      <c r="C121" s="10"/>
      <c r="I121" s="18"/>
      <c r="J121" s="18"/>
      <c r="K121" s="19"/>
    </row>
    <row r="122" spans="3:11" ht="15.75" customHeight="1" x14ac:dyDescent="0.25">
      <c r="C122" s="10"/>
      <c r="I122" s="18"/>
      <c r="J122" s="18"/>
      <c r="K122" s="19"/>
    </row>
    <row r="123" spans="3:11" ht="15.75" customHeight="1" x14ac:dyDescent="0.25">
      <c r="C123" s="10"/>
      <c r="I123" s="18"/>
      <c r="J123" s="18"/>
      <c r="K123" s="19"/>
    </row>
    <row r="124" spans="3:11" ht="15.75" customHeight="1" x14ac:dyDescent="0.25">
      <c r="C124" s="10"/>
      <c r="I124" s="18"/>
      <c r="J124" s="18"/>
      <c r="K124" s="19"/>
    </row>
    <row r="125" spans="3:11" ht="15.75" customHeight="1" x14ac:dyDescent="0.25">
      <c r="C125" s="10"/>
      <c r="I125" s="18"/>
      <c r="J125" s="18"/>
      <c r="K125" s="19"/>
    </row>
    <row r="126" spans="3:11" ht="15.75" customHeight="1" x14ac:dyDescent="0.25">
      <c r="C126" s="10"/>
      <c r="I126" s="18"/>
      <c r="J126" s="18"/>
      <c r="K126" s="19"/>
    </row>
    <row r="127" spans="3:11" ht="15.75" customHeight="1" x14ac:dyDescent="0.25">
      <c r="C127" s="10"/>
      <c r="I127" s="18"/>
      <c r="J127" s="18"/>
      <c r="K127" s="19"/>
    </row>
    <row r="128" spans="3:11" ht="15.75" customHeight="1" x14ac:dyDescent="0.25">
      <c r="C128" s="10"/>
      <c r="I128" s="18"/>
      <c r="J128" s="18"/>
      <c r="K128" s="19"/>
    </row>
    <row r="129" spans="3:11" ht="15.75" customHeight="1" x14ac:dyDescent="0.25">
      <c r="C129" s="10"/>
      <c r="I129" s="18"/>
      <c r="J129" s="18"/>
      <c r="K129" s="19"/>
    </row>
    <row r="130" spans="3:11" ht="15.75" customHeight="1" x14ac:dyDescent="0.25">
      <c r="C130" s="10"/>
      <c r="I130" s="18"/>
      <c r="J130" s="18"/>
      <c r="K130" s="19"/>
    </row>
    <row r="131" spans="3:11" ht="15.75" customHeight="1" x14ac:dyDescent="0.25">
      <c r="C131" s="10"/>
      <c r="I131" s="18"/>
      <c r="J131" s="18"/>
      <c r="K131" s="19"/>
    </row>
    <row r="132" spans="3:11" ht="15.75" customHeight="1" x14ac:dyDescent="0.25">
      <c r="C132" s="10"/>
      <c r="I132" s="18"/>
      <c r="J132" s="18"/>
      <c r="K132" s="19"/>
    </row>
    <row r="133" spans="3:11" ht="15.75" customHeight="1" x14ac:dyDescent="0.25">
      <c r="C133" s="10"/>
      <c r="I133" s="18"/>
      <c r="J133" s="18"/>
      <c r="K133" s="19"/>
    </row>
    <row r="134" spans="3:11" ht="15.75" customHeight="1" x14ac:dyDescent="0.25">
      <c r="C134" s="10"/>
      <c r="I134" s="18"/>
      <c r="J134" s="18"/>
      <c r="K134" s="19"/>
    </row>
    <row r="135" spans="3:11" ht="15.75" customHeight="1" x14ac:dyDescent="0.25">
      <c r="C135" s="10"/>
      <c r="I135" s="18"/>
      <c r="J135" s="18"/>
      <c r="K135" s="19"/>
    </row>
    <row r="136" spans="3:11" ht="15.75" customHeight="1" x14ac:dyDescent="0.25">
      <c r="C136" s="10"/>
      <c r="I136" s="18"/>
      <c r="J136" s="18"/>
      <c r="K136" s="19"/>
    </row>
    <row r="137" spans="3:11" ht="15.75" customHeight="1" x14ac:dyDescent="0.25">
      <c r="C137" s="10"/>
      <c r="I137" s="18"/>
      <c r="J137" s="18"/>
      <c r="K137" s="19"/>
    </row>
    <row r="138" spans="3:11" ht="15.75" customHeight="1" x14ac:dyDescent="0.25">
      <c r="C138" s="10"/>
      <c r="I138" s="18"/>
      <c r="J138" s="18"/>
      <c r="K138" s="19"/>
    </row>
    <row r="139" spans="3:11" ht="15.75" customHeight="1" x14ac:dyDescent="0.25">
      <c r="C139" s="10"/>
      <c r="I139" s="18"/>
      <c r="J139" s="18"/>
      <c r="K139" s="19"/>
    </row>
    <row r="140" spans="3:11" ht="15.75" customHeight="1" x14ac:dyDescent="0.25">
      <c r="C140" s="10"/>
      <c r="I140" s="18"/>
      <c r="J140" s="18"/>
      <c r="K140" s="19"/>
    </row>
    <row r="141" spans="3:11" ht="15.75" customHeight="1" x14ac:dyDescent="0.25">
      <c r="C141" s="10"/>
      <c r="I141" s="18"/>
      <c r="J141" s="18"/>
      <c r="K141" s="19"/>
    </row>
    <row r="142" spans="3:11" ht="15.75" customHeight="1" x14ac:dyDescent="0.25">
      <c r="C142" s="10"/>
      <c r="I142" s="18"/>
      <c r="J142" s="18"/>
      <c r="K142" s="19"/>
    </row>
    <row r="143" spans="3:11" ht="15.75" customHeight="1" x14ac:dyDescent="0.25">
      <c r="C143" s="10"/>
      <c r="I143" s="18"/>
      <c r="J143" s="18"/>
      <c r="K143" s="19"/>
    </row>
    <row r="144" spans="3:11" ht="15.75" customHeight="1" x14ac:dyDescent="0.25">
      <c r="C144" s="10"/>
      <c r="I144" s="18"/>
      <c r="J144" s="18"/>
      <c r="K144" s="19"/>
    </row>
    <row r="145" spans="3:11" ht="15.75" customHeight="1" x14ac:dyDescent="0.25">
      <c r="C145" s="10"/>
      <c r="I145" s="18"/>
      <c r="J145" s="18"/>
      <c r="K145" s="19"/>
    </row>
    <row r="146" spans="3:11" ht="15.75" customHeight="1" x14ac:dyDescent="0.25">
      <c r="C146" s="10"/>
      <c r="I146" s="18"/>
      <c r="J146" s="18"/>
      <c r="K146" s="19"/>
    </row>
    <row r="147" spans="3:11" ht="15.75" customHeight="1" x14ac:dyDescent="0.25">
      <c r="C147" s="10"/>
      <c r="I147" s="18"/>
      <c r="J147" s="18"/>
      <c r="K147" s="19"/>
    </row>
    <row r="148" spans="3:11" ht="15.75" customHeight="1" x14ac:dyDescent="0.25">
      <c r="C148" s="10"/>
      <c r="I148" s="18"/>
      <c r="J148" s="18"/>
      <c r="K148" s="19"/>
    </row>
    <row r="149" spans="3:11" ht="15.75" customHeight="1" x14ac:dyDescent="0.25">
      <c r="C149" s="10"/>
      <c r="I149" s="18"/>
      <c r="J149" s="18"/>
      <c r="K149" s="19"/>
    </row>
    <row r="150" spans="3:11" ht="15.75" customHeight="1" x14ac:dyDescent="0.25">
      <c r="C150" s="10"/>
      <c r="I150" s="18"/>
      <c r="J150" s="18"/>
      <c r="K150" s="19"/>
    </row>
    <row r="151" spans="3:11" ht="15.75" customHeight="1" x14ac:dyDescent="0.25">
      <c r="C151" s="10"/>
      <c r="I151" s="18"/>
      <c r="J151" s="18"/>
      <c r="K151" s="19"/>
    </row>
    <row r="152" spans="3:11" ht="15.75" customHeight="1" x14ac:dyDescent="0.25">
      <c r="C152" s="10"/>
      <c r="I152" s="18"/>
      <c r="J152" s="18"/>
      <c r="K152" s="19"/>
    </row>
    <row r="153" spans="3:11" ht="15.75" customHeight="1" x14ac:dyDescent="0.25">
      <c r="C153" s="10"/>
      <c r="I153" s="18"/>
      <c r="J153" s="18"/>
      <c r="K153" s="19"/>
    </row>
    <row r="154" spans="3:11" ht="15.75" customHeight="1" x14ac:dyDescent="0.25">
      <c r="C154" s="10"/>
      <c r="I154" s="18"/>
      <c r="J154" s="18"/>
      <c r="K154" s="19"/>
    </row>
    <row r="155" spans="3:11" ht="15.75" customHeight="1" x14ac:dyDescent="0.25">
      <c r="C155" s="10"/>
      <c r="I155" s="18"/>
      <c r="J155" s="18"/>
      <c r="K155" s="19"/>
    </row>
    <row r="156" spans="3:11" ht="15.75" customHeight="1" x14ac:dyDescent="0.25">
      <c r="C156" s="10"/>
      <c r="I156" s="18"/>
      <c r="J156" s="18"/>
      <c r="K156" s="19"/>
    </row>
    <row r="157" spans="3:11" ht="15.75" customHeight="1" x14ac:dyDescent="0.25">
      <c r="C157" s="10"/>
      <c r="I157" s="18"/>
      <c r="J157" s="18"/>
      <c r="K157" s="19"/>
    </row>
    <row r="158" spans="3:11" ht="15.75" customHeight="1" x14ac:dyDescent="0.25">
      <c r="C158" s="10"/>
      <c r="I158" s="18"/>
      <c r="J158" s="18"/>
      <c r="K158" s="19"/>
    </row>
    <row r="159" spans="3:11" ht="15.75" customHeight="1" x14ac:dyDescent="0.25">
      <c r="C159" s="10"/>
      <c r="I159" s="18"/>
      <c r="J159" s="18"/>
      <c r="K159" s="19"/>
    </row>
    <row r="160" spans="3:11" ht="15.75" customHeight="1" x14ac:dyDescent="0.25">
      <c r="C160" s="10"/>
      <c r="I160" s="18"/>
      <c r="J160" s="18"/>
      <c r="K160" s="19"/>
    </row>
    <row r="161" spans="3:11" ht="15.75" customHeight="1" x14ac:dyDescent="0.25">
      <c r="C161" s="10"/>
      <c r="I161" s="18"/>
      <c r="J161" s="18"/>
      <c r="K161" s="19"/>
    </row>
    <row r="162" spans="3:11" ht="15.75" customHeight="1" x14ac:dyDescent="0.25">
      <c r="C162" s="10"/>
      <c r="I162" s="18"/>
      <c r="J162" s="18"/>
      <c r="K162" s="19"/>
    </row>
    <row r="163" spans="3:11" ht="15.75" customHeight="1" x14ac:dyDescent="0.25">
      <c r="C163" s="10"/>
      <c r="I163" s="18"/>
      <c r="J163" s="18"/>
      <c r="K163" s="19"/>
    </row>
    <row r="164" spans="3:11" ht="15.75" customHeight="1" x14ac:dyDescent="0.25">
      <c r="C164" s="10"/>
      <c r="I164" s="18"/>
      <c r="J164" s="18"/>
      <c r="K164" s="19"/>
    </row>
    <row r="165" spans="3:11" ht="15.75" customHeight="1" x14ac:dyDescent="0.25">
      <c r="C165" s="10"/>
      <c r="I165" s="18"/>
      <c r="J165" s="18"/>
      <c r="K165" s="19"/>
    </row>
    <row r="166" spans="3:11" ht="15.75" customHeight="1" x14ac:dyDescent="0.25">
      <c r="C166" s="10"/>
      <c r="I166" s="18"/>
      <c r="J166" s="18"/>
      <c r="K166" s="19"/>
    </row>
    <row r="167" spans="3:11" ht="15.75" customHeight="1" x14ac:dyDescent="0.25">
      <c r="C167" s="10"/>
      <c r="I167" s="18"/>
      <c r="J167" s="18"/>
      <c r="K167" s="19"/>
    </row>
    <row r="168" spans="3:11" ht="15.75" customHeight="1" x14ac:dyDescent="0.25">
      <c r="C168" s="10"/>
      <c r="I168" s="18"/>
      <c r="J168" s="18"/>
      <c r="K168" s="19"/>
    </row>
    <row r="169" spans="3:11" ht="15.75" customHeight="1" x14ac:dyDescent="0.25">
      <c r="C169" s="10"/>
      <c r="I169" s="18"/>
      <c r="J169" s="18"/>
      <c r="K169" s="19"/>
    </row>
    <row r="170" spans="3:11" ht="15.75" customHeight="1" x14ac:dyDescent="0.25">
      <c r="C170" s="10"/>
      <c r="I170" s="18"/>
      <c r="J170" s="18"/>
      <c r="K170" s="19"/>
    </row>
    <row r="171" spans="3:11" ht="15.75" customHeight="1" x14ac:dyDescent="0.25">
      <c r="C171" s="10"/>
      <c r="I171" s="18"/>
      <c r="J171" s="18"/>
      <c r="K171" s="19"/>
    </row>
    <row r="172" spans="3:11" ht="15.75" customHeight="1" x14ac:dyDescent="0.25">
      <c r="C172" s="10"/>
      <c r="I172" s="18"/>
      <c r="J172" s="18"/>
      <c r="K172" s="19"/>
    </row>
    <row r="173" spans="3:11" ht="15.75" customHeight="1" x14ac:dyDescent="0.25">
      <c r="C173" s="10"/>
      <c r="I173" s="18"/>
      <c r="J173" s="18"/>
      <c r="K173" s="19"/>
    </row>
    <row r="174" spans="3:11" ht="15.75" customHeight="1" x14ac:dyDescent="0.25">
      <c r="C174" s="10"/>
      <c r="I174" s="18"/>
      <c r="J174" s="18"/>
      <c r="K174" s="19"/>
    </row>
    <row r="175" spans="3:11" ht="15.75" customHeight="1" x14ac:dyDescent="0.25">
      <c r="C175" s="10"/>
      <c r="I175" s="18"/>
      <c r="J175" s="18"/>
      <c r="K175" s="19"/>
    </row>
    <row r="176" spans="3:11" ht="15.75" customHeight="1" x14ac:dyDescent="0.25">
      <c r="C176" s="10"/>
      <c r="I176" s="18"/>
      <c r="J176" s="18"/>
      <c r="K176" s="19"/>
    </row>
    <row r="177" spans="3:11" ht="15.75" customHeight="1" x14ac:dyDescent="0.25">
      <c r="C177" s="10"/>
      <c r="I177" s="18"/>
      <c r="J177" s="18"/>
      <c r="K177" s="19"/>
    </row>
    <row r="178" spans="3:11" ht="15.75" customHeight="1" x14ac:dyDescent="0.25">
      <c r="C178" s="10"/>
      <c r="I178" s="18"/>
      <c r="J178" s="18"/>
      <c r="K178" s="19"/>
    </row>
    <row r="179" spans="3:11" ht="15.75" customHeight="1" x14ac:dyDescent="0.25">
      <c r="C179" s="10"/>
      <c r="I179" s="18"/>
      <c r="J179" s="18"/>
      <c r="K179" s="19"/>
    </row>
    <row r="180" spans="3:11" ht="15.75" customHeight="1" x14ac:dyDescent="0.25">
      <c r="C180" s="10"/>
      <c r="I180" s="18"/>
      <c r="J180" s="18"/>
      <c r="K180" s="19"/>
    </row>
    <row r="181" spans="3:11" ht="15.75" customHeight="1" x14ac:dyDescent="0.25">
      <c r="C181" s="10"/>
      <c r="I181" s="18"/>
      <c r="J181" s="18"/>
      <c r="K181" s="19"/>
    </row>
    <row r="182" spans="3:11" ht="15.75" customHeight="1" x14ac:dyDescent="0.25">
      <c r="C182" s="10"/>
      <c r="I182" s="18"/>
      <c r="J182" s="18"/>
      <c r="K182" s="19"/>
    </row>
    <row r="183" spans="3:11" ht="15.75" customHeight="1" x14ac:dyDescent="0.25">
      <c r="C183" s="10"/>
      <c r="I183" s="18"/>
      <c r="J183" s="18"/>
      <c r="K183" s="19"/>
    </row>
    <row r="184" spans="3:11" ht="15.75" customHeight="1" x14ac:dyDescent="0.25">
      <c r="C184" s="10"/>
      <c r="I184" s="18"/>
      <c r="J184" s="18"/>
      <c r="K184" s="19"/>
    </row>
    <row r="185" spans="3:11" ht="15.75" customHeight="1" x14ac:dyDescent="0.25">
      <c r="C185" s="10"/>
      <c r="I185" s="18"/>
      <c r="J185" s="18"/>
      <c r="K185" s="19"/>
    </row>
    <row r="186" spans="3:11" ht="15.75" customHeight="1" x14ac:dyDescent="0.25">
      <c r="C186" s="10"/>
      <c r="I186" s="18"/>
      <c r="J186" s="18"/>
      <c r="K186" s="19"/>
    </row>
    <row r="187" spans="3:11" ht="15.75" customHeight="1" x14ac:dyDescent="0.25">
      <c r="C187" s="10"/>
      <c r="I187" s="18"/>
      <c r="J187" s="18"/>
      <c r="K187" s="19"/>
    </row>
    <row r="188" spans="3:11" ht="15.75" customHeight="1" x14ac:dyDescent="0.25">
      <c r="C188" s="10"/>
      <c r="I188" s="18"/>
      <c r="J188" s="18"/>
      <c r="K188" s="19"/>
    </row>
    <row r="189" spans="3:11" ht="15.75" customHeight="1" x14ac:dyDescent="0.25">
      <c r="C189" s="10"/>
      <c r="I189" s="18"/>
      <c r="J189" s="18"/>
      <c r="K189" s="19"/>
    </row>
    <row r="190" spans="3:11" ht="15.75" customHeight="1" x14ac:dyDescent="0.25">
      <c r="C190" s="10"/>
      <c r="I190" s="18"/>
      <c r="J190" s="18"/>
      <c r="K190" s="19"/>
    </row>
    <row r="191" spans="3:11" ht="15.75" customHeight="1" x14ac:dyDescent="0.25">
      <c r="C191" s="10"/>
      <c r="I191" s="18"/>
      <c r="J191" s="18"/>
      <c r="K191" s="19"/>
    </row>
    <row r="192" spans="3:11" ht="15.75" customHeight="1" x14ac:dyDescent="0.25">
      <c r="C192" s="10"/>
      <c r="I192" s="18"/>
      <c r="J192" s="18"/>
      <c r="K192" s="19"/>
    </row>
    <row r="193" spans="3:11" ht="15.75" customHeight="1" x14ac:dyDescent="0.25">
      <c r="C193" s="10"/>
      <c r="I193" s="18"/>
      <c r="J193" s="18"/>
      <c r="K193" s="19"/>
    </row>
    <row r="194" spans="3:11" ht="15.75" customHeight="1" x14ac:dyDescent="0.25">
      <c r="C194" s="10"/>
      <c r="I194" s="18"/>
      <c r="J194" s="18"/>
      <c r="K194" s="19"/>
    </row>
    <row r="195" spans="3:11" ht="15.75" customHeight="1" x14ac:dyDescent="0.25">
      <c r="C195" s="10"/>
      <c r="I195" s="18"/>
      <c r="J195" s="18"/>
      <c r="K195" s="19"/>
    </row>
    <row r="196" spans="3:11" ht="15.75" customHeight="1" x14ac:dyDescent="0.25">
      <c r="C196" s="10"/>
      <c r="I196" s="18"/>
      <c r="J196" s="18"/>
      <c r="K196" s="19"/>
    </row>
    <row r="197" spans="3:11" ht="15.75" customHeight="1" x14ac:dyDescent="0.25">
      <c r="C197" s="10"/>
      <c r="I197" s="18"/>
      <c r="J197" s="18"/>
      <c r="K197" s="19"/>
    </row>
    <row r="198" spans="3:11" ht="15.75" customHeight="1" x14ac:dyDescent="0.25">
      <c r="C198" s="10"/>
      <c r="I198" s="18"/>
      <c r="J198" s="18"/>
      <c r="K198" s="19"/>
    </row>
    <row r="199" spans="3:11" ht="15.75" customHeight="1" x14ac:dyDescent="0.25">
      <c r="C199" s="10"/>
      <c r="I199" s="18"/>
      <c r="J199" s="18"/>
      <c r="K199" s="19"/>
    </row>
    <row r="200" spans="3:11" ht="15.75" customHeight="1" x14ac:dyDescent="0.25">
      <c r="C200" s="10"/>
      <c r="I200" s="18"/>
      <c r="J200" s="18"/>
      <c r="K200" s="19"/>
    </row>
    <row r="201" spans="3:11" ht="15.75" customHeight="1" x14ac:dyDescent="0.25">
      <c r="C201" s="10"/>
      <c r="I201" s="18"/>
      <c r="J201" s="18"/>
      <c r="K201" s="19"/>
    </row>
    <row r="202" spans="3:11" ht="15.75" customHeight="1" x14ac:dyDescent="0.25">
      <c r="C202" s="10"/>
      <c r="I202" s="18"/>
      <c r="J202" s="18"/>
      <c r="K202" s="19"/>
    </row>
    <row r="203" spans="3:11" ht="15.75" customHeight="1" x14ac:dyDescent="0.25">
      <c r="C203" s="10"/>
      <c r="I203" s="18"/>
      <c r="J203" s="18"/>
      <c r="K203" s="19"/>
    </row>
    <row r="204" spans="3:11" ht="15.75" customHeight="1" x14ac:dyDescent="0.25">
      <c r="C204" s="10"/>
      <c r="I204" s="18"/>
      <c r="J204" s="18"/>
      <c r="K204" s="19"/>
    </row>
    <row r="205" spans="3:11" ht="15.75" customHeight="1" x14ac:dyDescent="0.25">
      <c r="C205" s="10"/>
      <c r="I205" s="18"/>
      <c r="J205" s="18"/>
      <c r="K205" s="19"/>
    </row>
    <row r="206" spans="3:11" ht="15.75" customHeight="1" x14ac:dyDescent="0.25">
      <c r="C206" s="10"/>
      <c r="I206" s="18"/>
      <c r="J206" s="18"/>
      <c r="K206" s="19"/>
    </row>
    <row r="207" spans="3:11" ht="15.75" customHeight="1" x14ac:dyDescent="0.25">
      <c r="C207" s="10"/>
      <c r="I207" s="18"/>
      <c r="J207" s="18"/>
      <c r="K207" s="19"/>
    </row>
    <row r="208" spans="3:11" ht="15.75" customHeight="1" x14ac:dyDescent="0.25">
      <c r="C208" s="10"/>
      <c r="I208" s="18"/>
      <c r="J208" s="18"/>
      <c r="K208" s="19"/>
    </row>
    <row r="209" spans="3:11" ht="15.75" customHeight="1" x14ac:dyDescent="0.25">
      <c r="C209" s="10"/>
      <c r="I209" s="18"/>
      <c r="J209" s="18"/>
      <c r="K209" s="19"/>
    </row>
    <row r="210" spans="3:11" ht="15.75" customHeight="1" x14ac:dyDescent="0.25">
      <c r="C210" s="10"/>
      <c r="I210" s="18"/>
      <c r="J210" s="18"/>
      <c r="K210" s="19"/>
    </row>
    <row r="211" spans="3:11" ht="15.75" customHeight="1" x14ac:dyDescent="0.25">
      <c r="C211" s="10"/>
      <c r="I211" s="18"/>
      <c r="J211" s="18"/>
      <c r="K211" s="19"/>
    </row>
    <row r="212" spans="3:11" ht="15.75" customHeight="1" x14ac:dyDescent="0.25">
      <c r="C212" s="10"/>
      <c r="I212" s="18"/>
      <c r="J212" s="18"/>
      <c r="K212" s="19"/>
    </row>
    <row r="213" spans="3:11" ht="15.75" customHeight="1" x14ac:dyDescent="0.25">
      <c r="C213" s="10"/>
      <c r="I213" s="18"/>
      <c r="J213" s="18"/>
      <c r="K213" s="19"/>
    </row>
    <row r="214" spans="3:11" ht="15.75" customHeight="1" x14ac:dyDescent="0.25">
      <c r="C214" s="10"/>
      <c r="I214" s="18"/>
      <c r="J214" s="18"/>
      <c r="K214" s="19"/>
    </row>
    <row r="215" spans="3:11" ht="15.75" customHeight="1" x14ac:dyDescent="0.25">
      <c r="C215" s="10"/>
      <c r="I215" s="18"/>
      <c r="J215" s="18"/>
      <c r="K215" s="19"/>
    </row>
    <row r="216" spans="3:11" ht="15.75" customHeight="1" x14ac:dyDescent="0.25">
      <c r="C216" s="10"/>
      <c r="I216" s="18"/>
      <c r="J216" s="18"/>
      <c r="K216" s="19"/>
    </row>
    <row r="217" spans="3:11" ht="15.75" customHeight="1" x14ac:dyDescent="0.25">
      <c r="C217" s="10"/>
      <c r="I217" s="18"/>
      <c r="J217" s="18"/>
      <c r="K217" s="19"/>
    </row>
    <row r="218" spans="3:11" ht="15.75" customHeight="1" x14ac:dyDescent="0.25">
      <c r="C218" s="10"/>
      <c r="I218" s="18"/>
      <c r="J218" s="18"/>
      <c r="K218" s="19"/>
    </row>
    <row r="219" spans="3:11" ht="15.75" customHeight="1" x14ac:dyDescent="0.25">
      <c r="C219" s="10"/>
      <c r="I219" s="18"/>
      <c r="J219" s="18"/>
      <c r="K219" s="19"/>
    </row>
    <row r="220" spans="3:11" ht="15.75" customHeight="1" x14ac:dyDescent="0.25">
      <c r="C220" s="10"/>
      <c r="I220" s="18"/>
      <c r="J220" s="18"/>
      <c r="K220" s="19"/>
    </row>
    <row r="221" spans="3:11" ht="15.75" customHeight="1" x14ac:dyDescent="0.25">
      <c r="C221" s="10"/>
      <c r="I221" s="18"/>
      <c r="J221" s="18"/>
      <c r="K221" s="19"/>
    </row>
    <row r="222" spans="3:11" ht="15.75" customHeight="1" x14ac:dyDescent="0.25">
      <c r="C222" s="10"/>
      <c r="I222" s="18"/>
      <c r="J222" s="18"/>
      <c r="K222" s="19"/>
    </row>
    <row r="223" spans="3:11" ht="15.75" customHeight="1" x14ac:dyDescent="0.25">
      <c r="C223" s="10"/>
      <c r="I223" s="18"/>
      <c r="J223" s="18"/>
      <c r="K223" s="19"/>
    </row>
    <row r="224" spans="3:11" ht="15.75" customHeight="1" x14ac:dyDescent="0.25">
      <c r="C224" s="10"/>
      <c r="I224" s="18"/>
      <c r="J224" s="18"/>
      <c r="K224" s="19"/>
    </row>
    <row r="225" spans="3:11" ht="15.75" customHeight="1" x14ac:dyDescent="0.25">
      <c r="C225" s="10"/>
      <c r="I225" s="18"/>
      <c r="J225" s="18"/>
      <c r="K225" s="19"/>
    </row>
    <row r="226" spans="3:11" ht="15.75" customHeight="1" x14ac:dyDescent="0.25">
      <c r="C226" s="10"/>
      <c r="I226" s="18"/>
      <c r="J226" s="18"/>
      <c r="K226" s="19"/>
    </row>
    <row r="227" spans="3:11" ht="15.75" customHeight="1" x14ac:dyDescent="0.25">
      <c r="C227" s="10"/>
      <c r="I227" s="18"/>
      <c r="J227" s="18"/>
      <c r="K227" s="19"/>
    </row>
    <row r="228" spans="3:11" ht="15.75" customHeight="1" x14ac:dyDescent="0.25">
      <c r="C228" s="10"/>
      <c r="I228" s="18"/>
      <c r="J228" s="18"/>
      <c r="K228" s="19"/>
    </row>
    <row r="229" spans="3:11" ht="15.75" customHeight="1" x14ac:dyDescent="0.25">
      <c r="C229" s="10"/>
      <c r="I229" s="18"/>
      <c r="J229" s="18"/>
      <c r="K229" s="19"/>
    </row>
    <row r="230" spans="3:11" ht="15.75" customHeight="1" x14ac:dyDescent="0.25">
      <c r="C230" s="10"/>
      <c r="I230" s="18"/>
      <c r="J230" s="18"/>
      <c r="K230" s="19"/>
    </row>
    <row r="231" spans="3:11" ht="15.75" customHeight="1" x14ac:dyDescent="0.25">
      <c r="C231" s="10"/>
      <c r="I231" s="18"/>
      <c r="J231" s="18"/>
      <c r="K231" s="19"/>
    </row>
    <row r="232" spans="3:11" ht="15.75" customHeight="1" x14ac:dyDescent="0.25">
      <c r="C232" s="10"/>
      <c r="I232" s="18"/>
      <c r="J232" s="18"/>
      <c r="K232" s="19"/>
    </row>
    <row r="233" spans="3:11" ht="15.75" customHeight="1" x14ac:dyDescent="0.25">
      <c r="C233" s="10"/>
      <c r="I233" s="18"/>
      <c r="J233" s="18"/>
      <c r="K233" s="19"/>
    </row>
    <row r="234" spans="3:11" ht="15.75" customHeight="1" x14ac:dyDescent="0.25">
      <c r="C234" s="10"/>
      <c r="I234" s="18"/>
      <c r="J234" s="18"/>
      <c r="K234" s="19"/>
    </row>
    <row r="235" spans="3:11" ht="15.75" customHeight="1" x14ac:dyDescent="0.25">
      <c r="C235" s="10"/>
      <c r="I235" s="18"/>
      <c r="J235" s="18"/>
      <c r="K235" s="19"/>
    </row>
    <row r="236" spans="3:11" ht="15.75" customHeight="1" x14ac:dyDescent="0.25">
      <c r="C236" s="10"/>
      <c r="I236" s="18"/>
      <c r="J236" s="18"/>
      <c r="K236" s="19"/>
    </row>
    <row r="237" spans="3:11" ht="15.75" customHeight="1" x14ac:dyDescent="0.25">
      <c r="C237" s="10"/>
      <c r="I237" s="18"/>
      <c r="J237" s="18"/>
      <c r="K237" s="19"/>
    </row>
    <row r="238" spans="3:11" ht="15.75" customHeight="1" x14ac:dyDescent="0.25">
      <c r="C238" s="10"/>
      <c r="I238" s="18"/>
      <c r="J238" s="18"/>
      <c r="K238" s="19"/>
    </row>
    <row r="239" spans="3:11" ht="15.75" customHeight="1" x14ac:dyDescent="0.25">
      <c r="C239" s="10"/>
      <c r="I239" s="18"/>
      <c r="J239" s="18"/>
      <c r="K239" s="19"/>
    </row>
    <row r="240" spans="3:11" ht="15.75" customHeight="1" x14ac:dyDescent="0.25">
      <c r="C240" s="10"/>
      <c r="I240" s="18"/>
      <c r="J240" s="18"/>
      <c r="K240" s="19"/>
    </row>
    <row r="241" spans="3:11" ht="15.75" customHeight="1" x14ac:dyDescent="0.25">
      <c r="C241" s="10"/>
      <c r="I241" s="18"/>
      <c r="J241" s="18"/>
      <c r="K241" s="19"/>
    </row>
    <row r="242" spans="3:11" ht="15.75" customHeight="1" x14ac:dyDescent="0.25">
      <c r="C242" s="10"/>
      <c r="I242" s="18"/>
      <c r="J242" s="18"/>
      <c r="K242" s="19"/>
    </row>
    <row r="243" spans="3:11" ht="15.75" customHeight="1" x14ac:dyDescent="0.25">
      <c r="C243" s="10"/>
      <c r="I243" s="18"/>
      <c r="J243" s="18"/>
      <c r="K243" s="19"/>
    </row>
    <row r="244" spans="3:11" ht="15.75" customHeight="1" x14ac:dyDescent="0.2"/>
    <row r="245" spans="3:11" ht="15.75" customHeight="1" x14ac:dyDescent="0.2"/>
    <row r="246" spans="3:11" ht="15.75" customHeight="1" x14ac:dyDescent="0.2"/>
    <row r="247" spans="3:11" ht="15.75" customHeight="1" x14ac:dyDescent="0.2"/>
    <row r="248" spans="3:11" ht="15.75" customHeight="1" x14ac:dyDescent="0.2"/>
    <row r="249" spans="3:11" ht="15.75" customHeight="1" x14ac:dyDescent="0.2"/>
    <row r="250" spans="3:11" ht="15.75" customHeight="1" x14ac:dyDescent="0.2"/>
    <row r="251" spans="3:11" ht="15.75" customHeight="1" x14ac:dyDescent="0.2"/>
    <row r="252" spans="3:11" ht="15.75" customHeight="1" x14ac:dyDescent="0.2"/>
    <row r="253" spans="3:11" ht="15.75" customHeight="1" x14ac:dyDescent="0.2"/>
    <row r="254" spans="3:11" ht="15.75" customHeight="1" x14ac:dyDescent="0.2"/>
    <row r="255" spans="3:11" ht="15.75" customHeight="1" x14ac:dyDescent="0.2"/>
    <row r="256" spans="3:11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  <row r="993" ht="15.75" customHeight="1" x14ac:dyDescent="0.2"/>
    <row r="994" ht="15.75" customHeight="1" x14ac:dyDescent="0.2"/>
    <row r="995" ht="15.75" customHeight="1" x14ac:dyDescent="0.2"/>
    <row r="996" ht="15.75" customHeight="1" x14ac:dyDescent="0.2"/>
    <row r="997" ht="15.75" customHeight="1" x14ac:dyDescent="0.2"/>
    <row r="998" ht="15.75" customHeight="1" x14ac:dyDescent="0.2"/>
    <row r="999" ht="15.75" customHeight="1" x14ac:dyDescent="0.2"/>
    <row r="1000" ht="15.75" customHeight="1" x14ac:dyDescent="0.2"/>
    <row r="1001" ht="15.75" customHeight="1" x14ac:dyDescent="0.2"/>
    <row r="1002" ht="15.75" customHeight="1" x14ac:dyDescent="0.2"/>
    <row r="1003" ht="15.75" customHeight="1" x14ac:dyDescent="0.2"/>
    <row r="1004" ht="15.75" customHeight="1" x14ac:dyDescent="0.2"/>
    <row r="1005" ht="15.75" customHeight="1" x14ac:dyDescent="0.2"/>
    <row r="1006" ht="15.75" customHeight="1" x14ac:dyDescent="0.2"/>
  </sheetData>
  <pageMargins left="0.70866141732283472" right="0.70866141732283472" top="0.74803149606299213" bottom="0.74803149606299213" header="0" footer="0"/>
  <pageSetup paperSize="9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9D1C7C-9CB0-4222-AEF2-2E01F0FD1FB0}">
  <dimension ref="A1:R841"/>
  <sheetViews>
    <sheetView topLeftCell="A17" workbookViewId="0">
      <selection activeCell="C34" sqref="C34"/>
    </sheetView>
  </sheetViews>
  <sheetFormatPr defaultColWidth="12.625" defaultRowHeight="14.25" x14ac:dyDescent="0.2"/>
  <cols>
    <col min="1" max="1" width="6" style="64" customWidth="1"/>
    <col min="2" max="2" width="21" style="64" customWidth="1"/>
    <col min="3" max="3" width="13.5" style="64" bestFit="1" customWidth="1"/>
    <col min="4" max="4" width="12.5" style="64" customWidth="1"/>
    <col min="5" max="5" width="14" style="64" customWidth="1"/>
    <col min="6" max="6" width="15" style="64" customWidth="1"/>
    <col min="7" max="7" width="14.5" style="64" customWidth="1"/>
    <col min="8" max="8" width="15.25" style="64" customWidth="1"/>
    <col min="9" max="9" width="5.5" style="64" customWidth="1"/>
    <col min="10" max="10" width="14.75" style="64" bestFit="1" customWidth="1"/>
    <col min="11" max="11" width="14.625" style="64" bestFit="1" customWidth="1"/>
    <col min="12" max="12" width="16.25" style="64" bestFit="1" customWidth="1"/>
    <col min="13" max="13" width="14.5" style="73" bestFit="1" customWidth="1"/>
    <col min="14" max="14" width="12.375" style="64" bestFit="1" customWidth="1"/>
    <col min="15" max="15" width="14.875" style="64" bestFit="1" customWidth="1"/>
    <col min="16" max="16" width="12.5" style="64" customWidth="1"/>
    <col min="17" max="17" width="10.875" style="64" customWidth="1"/>
    <col min="18" max="18" width="13.375" style="64" customWidth="1"/>
    <col min="19" max="26" width="7.625" style="64" customWidth="1"/>
    <col min="27" max="16384" width="12.625" style="64"/>
  </cols>
  <sheetData>
    <row r="1" spans="1:18" ht="15" x14ac:dyDescent="0.25">
      <c r="A1" s="257" t="s">
        <v>55</v>
      </c>
      <c r="B1" s="258"/>
      <c r="C1" s="258"/>
      <c r="D1" s="258"/>
      <c r="E1" s="258"/>
      <c r="F1" s="65"/>
      <c r="G1" s="65"/>
      <c r="H1" s="65"/>
      <c r="I1" s="65"/>
      <c r="J1" s="65"/>
      <c r="K1" s="65"/>
      <c r="M1" s="64"/>
    </row>
    <row r="2" spans="1:18" ht="16.5" x14ac:dyDescent="0.3">
      <c r="A2" s="120" t="s">
        <v>33</v>
      </c>
      <c r="B2" s="123" t="s">
        <v>56</v>
      </c>
      <c r="C2" s="120" t="s">
        <v>42</v>
      </c>
      <c r="D2" s="134" t="s">
        <v>46</v>
      </c>
      <c r="E2" s="122" t="s">
        <v>57</v>
      </c>
      <c r="F2" s="122" t="s">
        <v>67</v>
      </c>
      <c r="G2" s="65"/>
      <c r="H2" s="65"/>
      <c r="I2" s="65"/>
      <c r="J2" s="65"/>
      <c r="K2" s="65" t="s">
        <v>77</v>
      </c>
      <c r="L2" s="64">
        <v>12</v>
      </c>
      <c r="M2" s="64"/>
    </row>
    <row r="3" spans="1:18" ht="15" customHeight="1" x14ac:dyDescent="0.3">
      <c r="A3" s="120">
        <v>1</v>
      </c>
      <c r="B3" s="259" t="s">
        <v>58</v>
      </c>
      <c r="C3" s="260">
        <v>44757</v>
      </c>
      <c r="D3" s="134" t="s">
        <v>43</v>
      </c>
      <c r="E3" s="122">
        <v>28554200</v>
      </c>
      <c r="F3" s="122">
        <f>E3</f>
        <v>28554200</v>
      </c>
      <c r="G3" s="65"/>
      <c r="H3" s="65"/>
      <c r="I3" s="65"/>
      <c r="J3" s="65"/>
      <c r="K3" s="65" t="s">
        <v>78</v>
      </c>
      <c r="L3" s="64">
        <v>10</v>
      </c>
      <c r="M3" s="64"/>
    </row>
    <row r="4" spans="1:18" ht="16.5" x14ac:dyDescent="0.3">
      <c r="A4" s="120">
        <v>2</v>
      </c>
      <c r="B4" s="256"/>
      <c r="C4" s="256"/>
      <c r="D4" s="261" t="s">
        <v>44</v>
      </c>
      <c r="E4" s="122">
        <v>30000</v>
      </c>
      <c r="F4" s="122">
        <f t="shared" ref="F4:F7" si="0">E4</f>
        <v>30000</v>
      </c>
      <c r="G4" s="65"/>
      <c r="H4" s="65"/>
      <c r="I4" s="65"/>
      <c r="J4" s="65"/>
      <c r="K4" s="65" t="s">
        <v>79</v>
      </c>
      <c r="L4" s="64">
        <v>14</v>
      </c>
      <c r="M4" s="64"/>
    </row>
    <row r="5" spans="1:18" ht="16.5" x14ac:dyDescent="0.3">
      <c r="A5" s="120">
        <v>3</v>
      </c>
      <c r="B5" s="256"/>
      <c r="C5" s="256"/>
      <c r="D5" s="256"/>
      <c r="E5" s="122">
        <v>2000</v>
      </c>
      <c r="F5" s="122">
        <f t="shared" si="0"/>
        <v>2000</v>
      </c>
      <c r="G5" s="65"/>
      <c r="H5" s="65"/>
      <c r="I5" s="65"/>
      <c r="J5" s="65"/>
      <c r="K5" s="65" t="s">
        <v>80</v>
      </c>
      <c r="L5" s="64">
        <v>11</v>
      </c>
      <c r="M5" s="64"/>
    </row>
    <row r="6" spans="1:18" ht="16.5" x14ac:dyDescent="0.3">
      <c r="A6" s="120">
        <v>5</v>
      </c>
      <c r="B6" s="123" t="s">
        <v>68</v>
      </c>
      <c r="C6" s="135">
        <v>44465</v>
      </c>
      <c r="D6" s="261" t="s">
        <v>43</v>
      </c>
      <c r="E6" s="122">
        <v>500</v>
      </c>
      <c r="F6" s="122">
        <f t="shared" si="0"/>
        <v>500</v>
      </c>
      <c r="G6" s="65"/>
      <c r="H6" s="65"/>
      <c r="I6" s="65"/>
      <c r="J6" s="65"/>
      <c r="K6" s="65" t="s">
        <v>81</v>
      </c>
      <c r="L6" s="64">
        <v>11</v>
      </c>
      <c r="M6" s="64"/>
    </row>
    <row r="7" spans="1:18" ht="16.5" x14ac:dyDescent="0.3">
      <c r="A7" s="120">
        <v>6</v>
      </c>
      <c r="B7" s="124" t="s">
        <v>59</v>
      </c>
      <c r="C7" s="135">
        <v>44313</v>
      </c>
      <c r="D7" s="256"/>
      <c r="E7" s="122">
        <v>1100</v>
      </c>
      <c r="F7" s="122">
        <f t="shared" si="0"/>
        <v>1100</v>
      </c>
      <c r="G7" s="65"/>
      <c r="H7" s="65"/>
      <c r="I7" s="65"/>
      <c r="J7" s="65"/>
      <c r="K7" s="65" t="s">
        <v>82</v>
      </c>
      <c r="L7" s="64">
        <v>3</v>
      </c>
      <c r="M7" s="64"/>
    </row>
    <row r="8" spans="1:18" ht="16.5" x14ac:dyDescent="0.3">
      <c r="A8" s="136"/>
      <c r="B8" s="255" t="s">
        <v>32</v>
      </c>
      <c r="C8" s="256"/>
      <c r="D8" s="256"/>
      <c r="E8" s="137">
        <f>SUM(E3:E7)</f>
        <v>28587800</v>
      </c>
      <c r="F8" s="137">
        <f>SUM(F3:F7)</f>
        <v>28587800</v>
      </c>
      <c r="G8" s="65"/>
      <c r="H8" s="65"/>
      <c r="O8" s="65"/>
      <c r="P8" s="65"/>
      <c r="Q8" s="65"/>
      <c r="R8" s="65"/>
    </row>
    <row r="9" spans="1:18" ht="15" x14ac:dyDescent="0.25">
      <c r="B9" s="69"/>
      <c r="D9" s="70"/>
      <c r="E9" s="65"/>
      <c r="F9" s="65"/>
      <c r="G9" s="65"/>
      <c r="H9" s="65"/>
      <c r="N9" s="65"/>
      <c r="O9" s="65"/>
      <c r="P9" s="65"/>
      <c r="Q9" s="65"/>
    </row>
    <row r="10" spans="1:18" ht="15" x14ac:dyDescent="0.25">
      <c r="B10" s="69"/>
      <c r="D10" s="70"/>
      <c r="E10" s="65"/>
      <c r="F10" s="65"/>
      <c r="G10" s="65"/>
      <c r="H10" s="65"/>
      <c r="O10" s="65"/>
      <c r="P10" s="65"/>
      <c r="Q10" s="65"/>
      <c r="R10" s="65"/>
    </row>
    <row r="11" spans="1:18" ht="16.5" x14ac:dyDescent="0.2">
      <c r="A11" s="138" t="s">
        <v>33</v>
      </c>
      <c r="B11" s="126" t="s">
        <v>46</v>
      </c>
      <c r="C11" s="138"/>
      <c r="D11" s="138"/>
      <c r="E11" s="71"/>
      <c r="F11" s="71"/>
      <c r="G11" s="71"/>
      <c r="H11" s="71"/>
      <c r="I11" s="71"/>
      <c r="J11" s="71"/>
      <c r="M11" s="64"/>
    </row>
    <row r="12" spans="1:18" ht="16.5" x14ac:dyDescent="0.3">
      <c r="A12" s="120">
        <v>1</v>
      </c>
      <c r="B12" s="123" t="s">
        <v>69</v>
      </c>
      <c r="C12" s="121">
        <v>216</v>
      </c>
      <c r="D12" s="120" t="s">
        <v>236</v>
      </c>
      <c r="M12" s="64"/>
    </row>
    <row r="13" spans="1:18" ht="16.5" x14ac:dyDescent="0.3">
      <c r="A13" s="120">
        <v>2</v>
      </c>
      <c r="B13" s="123" t="s">
        <v>70</v>
      </c>
      <c r="C13" s="121">
        <v>68006</v>
      </c>
      <c r="D13" s="120" t="s">
        <v>237</v>
      </c>
      <c r="M13" s="64"/>
    </row>
    <row r="14" spans="1:18" ht="33" x14ac:dyDescent="0.3">
      <c r="A14" s="120">
        <v>3</v>
      </c>
      <c r="B14" s="123" t="s">
        <v>72</v>
      </c>
      <c r="C14" s="121">
        <v>60</v>
      </c>
      <c r="D14" s="120" t="s">
        <v>238</v>
      </c>
      <c r="M14" s="64"/>
    </row>
    <row r="15" spans="1:18" ht="33" x14ac:dyDescent="0.3">
      <c r="A15" s="120">
        <v>4</v>
      </c>
      <c r="B15" s="123" t="s">
        <v>71</v>
      </c>
      <c r="C15" s="121">
        <f>C13*C14</f>
        <v>4080360</v>
      </c>
      <c r="D15" s="120" t="s">
        <v>238</v>
      </c>
      <c r="M15" s="64"/>
    </row>
    <row r="16" spans="1:18" ht="16.5" x14ac:dyDescent="0.3">
      <c r="A16" s="120">
        <v>5</v>
      </c>
      <c r="B16" s="123" t="s">
        <v>73</v>
      </c>
      <c r="C16" s="121">
        <f>C15*22</f>
        <v>89767920</v>
      </c>
      <c r="D16" s="120" t="s">
        <v>238</v>
      </c>
      <c r="M16" s="64"/>
    </row>
    <row r="17" spans="1:13" ht="33" x14ac:dyDescent="0.3">
      <c r="A17" s="120">
        <v>6</v>
      </c>
      <c r="B17" s="123" t="s">
        <v>74</v>
      </c>
      <c r="C17" s="121">
        <v>66</v>
      </c>
      <c r="D17" s="120" t="s">
        <v>238</v>
      </c>
      <c r="M17" s="64"/>
    </row>
    <row r="18" spans="1:13" ht="33" x14ac:dyDescent="0.3">
      <c r="A18" s="120">
        <v>7</v>
      </c>
      <c r="B18" s="123" t="s">
        <v>75</v>
      </c>
      <c r="C18" s="121">
        <f>C17*C13</f>
        <v>4488396</v>
      </c>
      <c r="D18" s="120" t="s">
        <v>238</v>
      </c>
      <c r="M18" s="64"/>
    </row>
    <row r="19" spans="1:13" ht="16.5" x14ac:dyDescent="0.3">
      <c r="A19" s="120">
        <v>8</v>
      </c>
      <c r="B19" s="123" t="s">
        <v>76</v>
      </c>
      <c r="C19" s="121">
        <f>C18*14</f>
        <v>62837544</v>
      </c>
      <c r="D19" s="120" t="s">
        <v>238</v>
      </c>
      <c r="M19" s="64"/>
    </row>
    <row r="20" spans="1:13" ht="33" x14ac:dyDescent="0.3">
      <c r="A20" s="120">
        <v>9</v>
      </c>
      <c r="B20" s="123" t="s">
        <v>85</v>
      </c>
      <c r="C20" s="121">
        <v>72.599999999999994</v>
      </c>
      <c r="D20" s="120" t="s">
        <v>238</v>
      </c>
      <c r="M20" s="64"/>
    </row>
    <row r="21" spans="1:13" ht="33" x14ac:dyDescent="0.3">
      <c r="A21" s="120">
        <v>10</v>
      </c>
      <c r="B21" s="123" t="s">
        <v>86</v>
      </c>
      <c r="C21" s="121">
        <f>ROUND(C20*C13,0)</f>
        <v>4937236</v>
      </c>
      <c r="D21" s="120" t="s">
        <v>238</v>
      </c>
      <c r="M21" s="64"/>
    </row>
    <row r="22" spans="1:13" ht="16.5" x14ac:dyDescent="0.3">
      <c r="A22" s="120">
        <v>11</v>
      </c>
      <c r="B22" s="123" t="s">
        <v>87</v>
      </c>
      <c r="C22" s="139">
        <f>C21*11</f>
        <v>54309596</v>
      </c>
      <c r="D22" s="120" t="s">
        <v>238</v>
      </c>
      <c r="M22" s="64"/>
    </row>
    <row r="23" spans="1:13" ht="33" x14ac:dyDescent="0.3">
      <c r="A23" s="120">
        <v>12</v>
      </c>
      <c r="B23" s="123" t="s">
        <v>85</v>
      </c>
      <c r="C23" s="121">
        <f>C20+(C20*10%)</f>
        <v>79.86</v>
      </c>
      <c r="D23" s="120" t="s">
        <v>238</v>
      </c>
      <c r="M23" s="64"/>
    </row>
    <row r="24" spans="1:13" ht="33" x14ac:dyDescent="0.3">
      <c r="A24" s="120">
        <v>13</v>
      </c>
      <c r="B24" s="123" t="s">
        <v>86</v>
      </c>
      <c r="C24" s="121">
        <f>ROUND(C23*C13,0)</f>
        <v>5430959</v>
      </c>
      <c r="D24" s="120" t="s">
        <v>238</v>
      </c>
      <c r="M24" s="64"/>
    </row>
    <row r="25" spans="1:13" ht="16.5" x14ac:dyDescent="0.3">
      <c r="A25" s="120">
        <v>14</v>
      </c>
      <c r="B25" s="123" t="s">
        <v>87</v>
      </c>
      <c r="C25" s="139">
        <f>C24*11</f>
        <v>59740549</v>
      </c>
      <c r="D25" s="120" t="s">
        <v>238</v>
      </c>
      <c r="M25" s="64"/>
    </row>
    <row r="26" spans="1:13" ht="33" x14ac:dyDescent="0.3">
      <c r="A26" s="120">
        <v>15</v>
      </c>
      <c r="B26" s="123" t="s">
        <v>88</v>
      </c>
      <c r="C26" s="121">
        <f>C23+(C23*10%)</f>
        <v>87.846000000000004</v>
      </c>
      <c r="D26" s="120" t="s">
        <v>238</v>
      </c>
      <c r="M26" s="64"/>
    </row>
    <row r="27" spans="1:13" ht="33" x14ac:dyDescent="0.3">
      <c r="A27" s="120">
        <v>16</v>
      </c>
      <c r="B27" s="123" t="s">
        <v>89</v>
      </c>
      <c r="C27" s="121">
        <f>ROUND(C26*C13,0)</f>
        <v>5974055</v>
      </c>
      <c r="D27" s="120" t="s">
        <v>238</v>
      </c>
      <c r="M27" s="64"/>
    </row>
    <row r="28" spans="1:13" ht="16.5" x14ac:dyDescent="0.3">
      <c r="A28" s="120">
        <v>17</v>
      </c>
      <c r="B28" s="123" t="s">
        <v>90</v>
      </c>
      <c r="C28" s="139">
        <f>C27*3</f>
        <v>17922165</v>
      </c>
      <c r="D28" s="120" t="s">
        <v>238</v>
      </c>
      <c r="M28" s="64"/>
    </row>
    <row r="29" spans="1:13" ht="16.5" x14ac:dyDescent="0.3">
      <c r="A29" s="120">
        <v>18</v>
      </c>
      <c r="B29" s="123" t="s">
        <v>60</v>
      </c>
      <c r="C29" s="121">
        <f>C15</f>
        <v>4080360</v>
      </c>
      <c r="D29" s="120" t="s">
        <v>238</v>
      </c>
      <c r="M29" s="64"/>
    </row>
    <row r="30" spans="1:13" ht="16.5" x14ac:dyDescent="0.3">
      <c r="A30" s="120">
        <v>19</v>
      </c>
      <c r="B30" s="123" t="s">
        <v>83</v>
      </c>
      <c r="C30" s="121">
        <f>C13*1000</f>
        <v>68006000</v>
      </c>
      <c r="D30" s="120" t="s">
        <v>238</v>
      </c>
      <c r="M30" s="64"/>
    </row>
    <row r="31" spans="1:13" ht="16.5" x14ac:dyDescent="0.3">
      <c r="A31" s="120">
        <v>20</v>
      </c>
      <c r="B31" s="123" t="s">
        <v>61</v>
      </c>
      <c r="C31" s="121">
        <f>20000*216</f>
        <v>4320000</v>
      </c>
      <c r="D31" s="120" t="s">
        <v>238</v>
      </c>
      <c r="M31" s="64"/>
    </row>
    <row r="32" spans="1:13" ht="16.5" x14ac:dyDescent="0.3">
      <c r="A32" s="120"/>
      <c r="B32" s="123" t="s">
        <v>180</v>
      </c>
      <c r="C32" s="121">
        <f>750*C13</f>
        <v>51004500</v>
      </c>
      <c r="D32" s="120" t="s">
        <v>238</v>
      </c>
      <c r="M32" s="64"/>
    </row>
    <row r="33" spans="1:18" ht="16.5" x14ac:dyDescent="0.3">
      <c r="A33" s="120">
        <v>21</v>
      </c>
      <c r="B33" s="123" t="s">
        <v>84</v>
      </c>
      <c r="C33" s="137">
        <f>C31+C30+C29+C22+C19+C16+C25+C28+C32</f>
        <v>411988634</v>
      </c>
      <c r="D33" s="120" t="s">
        <v>238</v>
      </c>
      <c r="M33" s="64"/>
    </row>
    <row r="34" spans="1:18" ht="15" x14ac:dyDescent="0.25">
      <c r="B34" s="69"/>
      <c r="D34" s="70"/>
      <c r="E34" s="65"/>
      <c r="F34" s="65"/>
      <c r="G34" s="65"/>
      <c r="H34" s="65"/>
      <c r="I34" s="65"/>
      <c r="J34" s="65"/>
      <c r="K34" s="65"/>
      <c r="L34" s="65"/>
      <c r="M34" s="68"/>
      <c r="N34" s="65"/>
      <c r="O34" s="65"/>
      <c r="P34" s="65"/>
      <c r="Q34" s="65"/>
      <c r="R34" s="65"/>
    </row>
    <row r="35" spans="1:18" ht="15" x14ac:dyDescent="0.25">
      <c r="B35" s="69"/>
      <c r="D35" s="70"/>
      <c r="E35" s="65"/>
      <c r="F35" s="65"/>
      <c r="G35" s="65"/>
      <c r="H35" s="65"/>
      <c r="I35" s="65"/>
      <c r="J35" s="65"/>
      <c r="K35" s="65"/>
      <c r="L35" s="65"/>
      <c r="M35" s="68"/>
      <c r="N35" s="65"/>
      <c r="O35" s="65"/>
      <c r="P35" s="65"/>
      <c r="Q35" s="65"/>
      <c r="R35" s="65"/>
    </row>
    <row r="36" spans="1:18" ht="15" x14ac:dyDescent="0.25">
      <c r="B36" s="69"/>
      <c r="D36" s="70"/>
      <c r="E36" s="65"/>
      <c r="F36" s="65"/>
      <c r="G36" s="65"/>
      <c r="H36" s="65"/>
      <c r="I36" s="65"/>
      <c r="J36" s="65"/>
      <c r="K36" s="65"/>
      <c r="L36" s="65"/>
      <c r="M36" s="68"/>
      <c r="N36" s="65"/>
      <c r="O36" s="65"/>
      <c r="P36" s="65"/>
      <c r="Q36" s="65"/>
      <c r="R36" s="65"/>
    </row>
    <row r="37" spans="1:18" ht="15" x14ac:dyDescent="0.25">
      <c r="B37" s="69"/>
      <c r="D37" s="70"/>
      <c r="E37" s="65"/>
      <c r="F37" s="65"/>
      <c r="G37" s="65"/>
      <c r="H37" s="65"/>
      <c r="I37" s="65"/>
      <c r="J37" s="65"/>
      <c r="K37" s="65"/>
      <c r="L37" s="65"/>
      <c r="M37" s="68"/>
      <c r="N37" s="65"/>
      <c r="O37" s="65"/>
      <c r="P37" s="65"/>
      <c r="Q37" s="65"/>
      <c r="R37" s="65"/>
    </row>
    <row r="38" spans="1:18" ht="15" x14ac:dyDescent="0.25">
      <c r="B38" s="69"/>
      <c r="D38" s="70"/>
      <c r="E38" s="65"/>
      <c r="F38" s="65"/>
      <c r="G38" s="65"/>
      <c r="H38" s="65"/>
      <c r="I38" s="65"/>
      <c r="J38" s="65"/>
      <c r="K38" s="65"/>
      <c r="L38" s="65"/>
      <c r="M38" s="68"/>
      <c r="N38" s="65"/>
      <c r="O38" s="65"/>
      <c r="P38" s="65"/>
      <c r="Q38" s="65"/>
      <c r="R38" s="65"/>
    </row>
    <row r="39" spans="1:18" ht="15" x14ac:dyDescent="0.25">
      <c r="B39" s="69"/>
      <c r="D39" s="70"/>
      <c r="E39" s="65"/>
      <c r="F39" s="65"/>
      <c r="G39" s="65"/>
      <c r="H39" s="65"/>
      <c r="I39" s="65"/>
      <c r="J39" s="65"/>
      <c r="K39" s="65"/>
      <c r="L39" s="65"/>
      <c r="M39" s="68"/>
      <c r="N39" s="65"/>
      <c r="O39" s="65"/>
      <c r="P39" s="65"/>
      <c r="Q39" s="65"/>
      <c r="R39" s="65"/>
    </row>
    <row r="40" spans="1:18" ht="15" x14ac:dyDescent="0.25">
      <c r="B40" s="69"/>
      <c r="D40" s="70"/>
      <c r="E40" s="65"/>
      <c r="F40" s="65"/>
      <c r="G40" s="65"/>
      <c r="H40" s="65"/>
      <c r="I40" s="65"/>
      <c r="J40" s="65"/>
      <c r="K40" s="65"/>
      <c r="L40" s="65"/>
      <c r="M40" s="68"/>
      <c r="N40" s="65"/>
      <c r="O40" s="65"/>
      <c r="P40" s="65"/>
      <c r="Q40" s="65"/>
      <c r="R40" s="65"/>
    </row>
    <row r="41" spans="1:18" ht="15" x14ac:dyDescent="0.25">
      <c r="B41" s="69"/>
      <c r="D41" s="70"/>
      <c r="E41" s="65"/>
      <c r="F41" s="65"/>
      <c r="G41" s="65"/>
      <c r="H41" s="65"/>
      <c r="I41" s="65"/>
      <c r="J41" s="65"/>
      <c r="K41" s="65"/>
      <c r="L41" s="65"/>
      <c r="M41" s="68"/>
      <c r="N41" s="65"/>
      <c r="O41" s="65"/>
      <c r="P41" s="65"/>
      <c r="Q41" s="65"/>
      <c r="R41" s="65"/>
    </row>
    <row r="42" spans="1:18" ht="15" x14ac:dyDescent="0.25">
      <c r="B42" s="69"/>
      <c r="D42" s="70"/>
      <c r="E42" s="65"/>
      <c r="F42" s="65"/>
      <c r="G42" s="65"/>
      <c r="H42" s="65"/>
      <c r="I42" s="65"/>
      <c r="J42" s="65"/>
      <c r="K42" s="65"/>
      <c r="L42" s="65"/>
      <c r="M42" s="68"/>
      <c r="N42" s="65"/>
      <c r="O42" s="65"/>
      <c r="P42" s="65"/>
      <c r="Q42" s="65"/>
      <c r="R42" s="65"/>
    </row>
    <row r="43" spans="1:18" ht="15" x14ac:dyDescent="0.25">
      <c r="B43" s="69"/>
      <c r="D43" s="70"/>
      <c r="E43" s="65"/>
      <c r="F43" s="65"/>
      <c r="G43" s="65"/>
      <c r="H43" s="65"/>
      <c r="I43" s="65"/>
      <c r="J43" s="65"/>
      <c r="K43" s="65"/>
      <c r="L43" s="65"/>
      <c r="M43" s="68"/>
      <c r="N43" s="65"/>
      <c r="O43" s="65"/>
      <c r="P43" s="65"/>
      <c r="Q43" s="65"/>
      <c r="R43" s="65"/>
    </row>
    <row r="44" spans="1:18" ht="15" x14ac:dyDescent="0.25">
      <c r="B44" s="69"/>
      <c r="D44" s="70"/>
      <c r="E44" s="65"/>
      <c r="F44" s="65"/>
      <c r="G44" s="65"/>
      <c r="H44" s="65"/>
      <c r="I44" s="65"/>
      <c r="J44" s="65"/>
      <c r="K44" s="65"/>
      <c r="L44" s="65"/>
      <c r="M44" s="68"/>
      <c r="N44" s="65"/>
      <c r="O44" s="65"/>
      <c r="P44" s="65"/>
      <c r="Q44" s="65"/>
      <c r="R44" s="65"/>
    </row>
    <row r="45" spans="1:18" ht="15" x14ac:dyDescent="0.25">
      <c r="B45" s="69"/>
      <c r="D45" s="70"/>
      <c r="E45" s="65"/>
      <c r="F45" s="65"/>
      <c r="G45" s="65"/>
      <c r="H45" s="65"/>
      <c r="I45" s="65"/>
      <c r="J45" s="65"/>
      <c r="K45" s="65"/>
      <c r="L45" s="65"/>
      <c r="M45" s="68"/>
      <c r="N45" s="65"/>
      <c r="O45" s="65"/>
      <c r="P45" s="65"/>
      <c r="Q45" s="65"/>
      <c r="R45" s="65"/>
    </row>
    <row r="46" spans="1:18" ht="15" x14ac:dyDescent="0.25">
      <c r="B46" s="69"/>
      <c r="D46" s="70"/>
      <c r="E46" s="65"/>
      <c r="F46" s="65"/>
      <c r="G46" s="65"/>
      <c r="H46" s="65"/>
      <c r="I46" s="65"/>
      <c r="J46" s="65"/>
      <c r="K46" s="65"/>
      <c r="L46" s="65"/>
      <c r="M46" s="68"/>
      <c r="N46" s="65"/>
      <c r="O46" s="65"/>
      <c r="P46" s="65"/>
      <c r="Q46" s="65"/>
      <c r="R46" s="65"/>
    </row>
    <row r="47" spans="1:18" ht="15" x14ac:dyDescent="0.25">
      <c r="B47" s="69"/>
      <c r="D47" s="70"/>
      <c r="E47" s="65"/>
      <c r="F47" s="65"/>
      <c r="G47" s="65"/>
      <c r="H47" s="65"/>
      <c r="I47" s="65"/>
      <c r="J47" s="65"/>
      <c r="K47" s="65"/>
      <c r="L47" s="65"/>
      <c r="M47" s="68"/>
      <c r="N47" s="65"/>
      <c r="O47" s="65"/>
      <c r="P47" s="65"/>
      <c r="Q47" s="65"/>
      <c r="R47" s="65"/>
    </row>
    <row r="48" spans="1:18" ht="15" x14ac:dyDescent="0.25">
      <c r="B48" s="69"/>
      <c r="D48" s="70"/>
      <c r="E48" s="65"/>
      <c r="F48" s="65"/>
      <c r="G48" s="65"/>
      <c r="H48" s="65"/>
      <c r="I48" s="65"/>
      <c r="J48" s="65"/>
      <c r="K48" s="65"/>
      <c r="L48" s="65"/>
      <c r="M48" s="68"/>
      <c r="N48" s="65"/>
      <c r="O48" s="65"/>
      <c r="P48" s="65"/>
      <c r="Q48" s="65"/>
      <c r="R48" s="65"/>
    </row>
    <row r="49" spans="2:18" ht="15" x14ac:dyDescent="0.25">
      <c r="B49" s="69"/>
      <c r="D49" s="70"/>
      <c r="E49" s="65"/>
      <c r="F49" s="65"/>
      <c r="G49" s="65"/>
      <c r="H49" s="65"/>
      <c r="I49" s="65"/>
      <c r="J49" s="65"/>
      <c r="K49" s="65"/>
      <c r="L49" s="65"/>
      <c r="M49" s="68"/>
      <c r="N49" s="65"/>
      <c r="O49" s="65"/>
      <c r="P49" s="65"/>
      <c r="Q49" s="65"/>
      <c r="R49" s="65"/>
    </row>
    <row r="50" spans="2:18" ht="15" x14ac:dyDescent="0.25">
      <c r="B50" s="69"/>
      <c r="D50" s="70"/>
      <c r="E50" s="65"/>
      <c r="F50" s="65"/>
      <c r="G50" s="65"/>
      <c r="H50" s="65"/>
      <c r="I50" s="65"/>
      <c r="J50" s="65"/>
      <c r="K50" s="65"/>
      <c r="L50" s="65"/>
      <c r="M50" s="68"/>
      <c r="N50" s="65"/>
      <c r="O50" s="65"/>
      <c r="P50" s="65"/>
      <c r="Q50" s="65"/>
      <c r="R50" s="65"/>
    </row>
    <row r="51" spans="2:18" ht="15" x14ac:dyDescent="0.25">
      <c r="B51" s="69"/>
      <c r="D51" s="70"/>
      <c r="E51" s="65"/>
      <c r="F51" s="65"/>
      <c r="G51" s="65"/>
      <c r="H51" s="65"/>
      <c r="I51" s="65"/>
      <c r="J51" s="65"/>
      <c r="K51" s="65"/>
      <c r="L51" s="65"/>
      <c r="M51" s="68"/>
      <c r="N51" s="65"/>
      <c r="O51" s="65"/>
      <c r="P51" s="65"/>
      <c r="Q51" s="65"/>
      <c r="R51" s="65"/>
    </row>
    <row r="52" spans="2:18" ht="15" x14ac:dyDescent="0.25">
      <c r="B52" s="69"/>
      <c r="D52" s="70"/>
      <c r="E52" s="65"/>
      <c r="F52" s="65"/>
      <c r="G52" s="65"/>
      <c r="H52" s="65"/>
      <c r="I52" s="65"/>
      <c r="J52" s="65"/>
      <c r="K52" s="65"/>
      <c r="L52" s="65"/>
      <c r="M52" s="68"/>
      <c r="N52" s="65"/>
      <c r="O52" s="65"/>
      <c r="P52" s="65"/>
      <c r="Q52" s="65"/>
      <c r="R52" s="65"/>
    </row>
    <row r="53" spans="2:18" ht="15" x14ac:dyDescent="0.25">
      <c r="B53" s="69"/>
      <c r="D53" s="70"/>
      <c r="E53" s="65"/>
      <c r="F53" s="65"/>
      <c r="G53" s="65"/>
      <c r="H53" s="65"/>
      <c r="I53" s="65"/>
      <c r="J53" s="65"/>
      <c r="K53" s="65"/>
      <c r="L53" s="65"/>
      <c r="M53" s="68"/>
      <c r="N53" s="65"/>
      <c r="O53" s="65"/>
      <c r="P53" s="65"/>
      <c r="Q53" s="65"/>
      <c r="R53" s="65"/>
    </row>
    <row r="54" spans="2:18" ht="15" x14ac:dyDescent="0.25">
      <c r="B54" s="69"/>
      <c r="D54" s="70"/>
      <c r="E54" s="65"/>
      <c r="F54" s="65"/>
      <c r="G54" s="65"/>
      <c r="H54" s="65"/>
      <c r="I54" s="65"/>
      <c r="J54" s="65"/>
      <c r="K54" s="65"/>
      <c r="L54" s="65"/>
      <c r="M54" s="68"/>
      <c r="N54" s="65"/>
      <c r="O54" s="65"/>
      <c r="P54" s="65"/>
      <c r="Q54" s="65"/>
      <c r="R54" s="65"/>
    </row>
    <row r="55" spans="2:18" ht="15" x14ac:dyDescent="0.25">
      <c r="B55" s="69"/>
      <c r="D55" s="70"/>
      <c r="E55" s="65"/>
      <c r="F55" s="65"/>
      <c r="G55" s="65"/>
      <c r="H55" s="65"/>
      <c r="I55" s="65"/>
      <c r="J55" s="65"/>
      <c r="K55" s="65"/>
      <c r="L55" s="65"/>
      <c r="M55" s="68"/>
      <c r="N55" s="65"/>
      <c r="O55" s="65"/>
      <c r="P55" s="65"/>
      <c r="Q55" s="65"/>
      <c r="R55" s="65"/>
    </row>
    <row r="56" spans="2:18" ht="15" x14ac:dyDescent="0.25">
      <c r="B56" s="69"/>
      <c r="D56" s="70"/>
      <c r="E56" s="65"/>
      <c r="F56" s="65"/>
      <c r="G56" s="65"/>
      <c r="H56" s="65"/>
      <c r="I56" s="65"/>
      <c r="J56" s="65"/>
      <c r="K56" s="65"/>
      <c r="L56" s="65"/>
      <c r="M56" s="68"/>
      <c r="N56" s="65"/>
      <c r="O56" s="65"/>
      <c r="P56" s="65"/>
      <c r="Q56" s="65"/>
      <c r="R56" s="65"/>
    </row>
    <row r="57" spans="2:18" ht="15" x14ac:dyDescent="0.25">
      <c r="B57" s="69"/>
      <c r="D57" s="70"/>
      <c r="E57" s="65"/>
      <c r="F57" s="65"/>
      <c r="G57" s="65"/>
      <c r="H57" s="65"/>
      <c r="I57" s="65"/>
      <c r="J57" s="65"/>
      <c r="K57" s="65"/>
      <c r="L57" s="65"/>
      <c r="M57" s="68"/>
      <c r="N57" s="65"/>
      <c r="O57" s="65"/>
      <c r="P57" s="65"/>
      <c r="Q57" s="65"/>
      <c r="R57" s="65"/>
    </row>
    <row r="58" spans="2:18" ht="15" x14ac:dyDescent="0.25">
      <c r="B58" s="69"/>
      <c r="D58" s="70"/>
      <c r="E58" s="65"/>
      <c r="F58" s="65"/>
      <c r="G58" s="65"/>
      <c r="H58" s="65"/>
      <c r="I58" s="65"/>
      <c r="J58" s="65"/>
      <c r="K58" s="65"/>
      <c r="L58" s="65"/>
      <c r="M58" s="68"/>
      <c r="N58" s="65"/>
      <c r="O58" s="65"/>
      <c r="P58" s="65"/>
      <c r="Q58" s="65"/>
      <c r="R58" s="65"/>
    </row>
    <row r="59" spans="2:18" ht="15" x14ac:dyDescent="0.25">
      <c r="B59" s="69"/>
      <c r="D59" s="70"/>
      <c r="E59" s="65"/>
      <c r="F59" s="65"/>
      <c r="G59" s="65"/>
      <c r="H59" s="65"/>
      <c r="I59" s="65"/>
      <c r="J59" s="65"/>
      <c r="K59" s="65"/>
      <c r="L59" s="65"/>
      <c r="M59" s="68"/>
      <c r="N59" s="65"/>
      <c r="O59" s="65"/>
      <c r="P59" s="65"/>
      <c r="Q59" s="65"/>
      <c r="R59" s="65"/>
    </row>
    <row r="60" spans="2:18" ht="15" x14ac:dyDescent="0.25">
      <c r="B60" s="69"/>
      <c r="D60" s="70"/>
      <c r="E60" s="65"/>
      <c r="F60" s="65"/>
      <c r="G60" s="65"/>
      <c r="H60" s="65"/>
      <c r="I60" s="65"/>
      <c r="J60" s="65"/>
      <c r="K60" s="65"/>
      <c r="L60" s="65"/>
      <c r="M60" s="68"/>
      <c r="N60" s="65"/>
      <c r="O60" s="65"/>
      <c r="P60" s="65"/>
      <c r="Q60" s="65"/>
      <c r="R60" s="65"/>
    </row>
    <row r="61" spans="2:18" ht="15" x14ac:dyDescent="0.25">
      <c r="B61" s="69"/>
      <c r="D61" s="70"/>
      <c r="E61" s="65"/>
      <c r="F61" s="65"/>
      <c r="G61" s="65"/>
      <c r="H61" s="65"/>
      <c r="I61" s="65"/>
      <c r="J61" s="65"/>
      <c r="K61" s="65"/>
      <c r="L61" s="65"/>
      <c r="M61" s="68"/>
      <c r="N61" s="65"/>
      <c r="O61" s="65"/>
      <c r="P61" s="65"/>
      <c r="Q61" s="65"/>
      <c r="R61" s="65"/>
    </row>
    <row r="62" spans="2:18" ht="15" x14ac:dyDescent="0.25">
      <c r="B62" s="69"/>
      <c r="D62" s="70"/>
      <c r="E62" s="65"/>
      <c r="F62" s="65"/>
      <c r="G62" s="65"/>
      <c r="H62" s="65"/>
      <c r="I62" s="65"/>
      <c r="J62" s="65"/>
      <c r="K62" s="65"/>
      <c r="L62" s="65"/>
      <c r="M62" s="68"/>
      <c r="N62" s="65"/>
      <c r="O62" s="65"/>
      <c r="P62" s="65"/>
      <c r="Q62" s="65"/>
      <c r="R62" s="65"/>
    </row>
    <row r="63" spans="2:18" ht="15" x14ac:dyDescent="0.25">
      <c r="B63" s="69"/>
      <c r="D63" s="70"/>
      <c r="E63" s="65"/>
      <c r="F63" s="65"/>
      <c r="G63" s="65"/>
      <c r="H63" s="65"/>
      <c r="I63" s="65"/>
      <c r="J63" s="65"/>
      <c r="K63" s="65"/>
      <c r="L63" s="65"/>
      <c r="M63" s="68"/>
      <c r="N63" s="65"/>
      <c r="O63" s="65"/>
      <c r="P63" s="65"/>
      <c r="Q63" s="65"/>
      <c r="R63" s="65"/>
    </row>
    <row r="64" spans="2:18" ht="15" x14ac:dyDescent="0.25">
      <c r="B64" s="69"/>
      <c r="D64" s="70"/>
      <c r="E64" s="65"/>
      <c r="F64" s="65"/>
      <c r="G64" s="65"/>
      <c r="H64" s="65"/>
      <c r="I64" s="65"/>
      <c r="J64" s="65"/>
      <c r="K64" s="65"/>
      <c r="L64" s="65"/>
      <c r="M64" s="68"/>
      <c r="N64" s="65"/>
      <c r="O64" s="65"/>
      <c r="P64" s="65"/>
      <c r="Q64" s="65"/>
      <c r="R64" s="65"/>
    </row>
    <row r="65" spans="2:18" ht="15" x14ac:dyDescent="0.25">
      <c r="B65" s="69"/>
      <c r="D65" s="70"/>
      <c r="E65" s="65"/>
      <c r="F65" s="65"/>
      <c r="G65" s="65"/>
      <c r="H65" s="65"/>
      <c r="I65" s="65"/>
      <c r="J65" s="65"/>
      <c r="K65" s="65"/>
      <c r="L65" s="65"/>
      <c r="M65" s="68"/>
      <c r="N65" s="65"/>
      <c r="O65" s="65"/>
      <c r="P65" s="65"/>
      <c r="Q65" s="65"/>
      <c r="R65" s="65"/>
    </row>
    <row r="66" spans="2:18" ht="15" x14ac:dyDescent="0.25">
      <c r="B66" s="69"/>
      <c r="D66" s="70"/>
      <c r="E66" s="65"/>
      <c r="F66" s="65"/>
      <c r="G66" s="65"/>
      <c r="H66" s="65"/>
      <c r="I66" s="65"/>
      <c r="J66" s="65"/>
      <c r="K66" s="65"/>
      <c r="L66" s="65"/>
      <c r="M66" s="68"/>
      <c r="N66" s="65"/>
      <c r="O66" s="65"/>
      <c r="P66" s="65"/>
      <c r="Q66" s="65"/>
      <c r="R66" s="65"/>
    </row>
    <row r="67" spans="2:18" ht="15" x14ac:dyDescent="0.25">
      <c r="B67" s="69"/>
      <c r="D67" s="70"/>
      <c r="E67" s="65"/>
      <c r="F67" s="65"/>
      <c r="G67" s="65"/>
      <c r="H67" s="65"/>
      <c r="I67" s="65"/>
      <c r="J67" s="65"/>
      <c r="K67" s="65"/>
      <c r="L67" s="65"/>
      <c r="M67" s="68"/>
      <c r="N67" s="65"/>
      <c r="O67" s="65"/>
      <c r="P67" s="65"/>
      <c r="Q67" s="65"/>
      <c r="R67" s="65"/>
    </row>
    <row r="68" spans="2:18" ht="15" x14ac:dyDescent="0.25">
      <c r="B68" s="69"/>
      <c r="D68" s="70"/>
      <c r="E68" s="65"/>
      <c r="F68" s="65"/>
      <c r="G68" s="65"/>
      <c r="H68" s="65"/>
      <c r="I68" s="65"/>
      <c r="J68" s="65"/>
      <c r="K68" s="65"/>
      <c r="L68" s="65"/>
      <c r="M68" s="68"/>
      <c r="N68" s="65"/>
      <c r="O68" s="65"/>
      <c r="P68" s="65"/>
      <c r="Q68" s="65"/>
      <c r="R68" s="65"/>
    </row>
    <row r="69" spans="2:18" ht="15" x14ac:dyDescent="0.25">
      <c r="B69" s="69"/>
      <c r="D69" s="70"/>
      <c r="E69" s="65"/>
      <c r="F69" s="65"/>
      <c r="G69" s="65"/>
      <c r="H69" s="65"/>
      <c r="I69" s="65"/>
      <c r="J69" s="65"/>
      <c r="K69" s="65"/>
      <c r="L69" s="65"/>
      <c r="M69" s="68"/>
      <c r="N69" s="65"/>
      <c r="O69" s="65"/>
      <c r="P69" s="65"/>
      <c r="Q69" s="65"/>
      <c r="R69" s="65"/>
    </row>
    <row r="70" spans="2:18" ht="15" x14ac:dyDescent="0.25">
      <c r="B70" s="69"/>
      <c r="D70" s="70"/>
      <c r="E70" s="65"/>
      <c r="F70" s="65"/>
      <c r="G70" s="65"/>
      <c r="H70" s="65"/>
      <c r="I70" s="65"/>
      <c r="J70" s="65"/>
      <c r="K70" s="65"/>
      <c r="L70" s="65"/>
      <c r="M70" s="68"/>
      <c r="N70" s="65"/>
      <c r="O70" s="65"/>
      <c r="P70" s="65"/>
      <c r="Q70" s="65"/>
      <c r="R70" s="65"/>
    </row>
    <row r="71" spans="2:18" ht="15" x14ac:dyDescent="0.25">
      <c r="B71" s="69"/>
      <c r="D71" s="70"/>
      <c r="E71" s="65"/>
      <c r="F71" s="65"/>
      <c r="G71" s="65"/>
      <c r="H71" s="65"/>
      <c r="I71" s="65"/>
      <c r="J71" s="65"/>
      <c r="K71" s="65"/>
      <c r="L71" s="65"/>
      <c r="M71" s="68"/>
      <c r="N71" s="65"/>
      <c r="O71" s="65"/>
      <c r="P71" s="65"/>
      <c r="Q71" s="65"/>
      <c r="R71" s="65"/>
    </row>
    <row r="72" spans="2:18" ht="15" x14ac:dyDescent="0.25">
      <c r="B72" s="69"/>
      <c r="D72" s="70"/>
      <c r="E72" s="65"/>
      <c r="F72" s="65"/>
      <c r="G72" s="65"/>
      <c r="H72" s="65"/>
      <c r="I72" s="65"/>
      <c r="J72" s="65"/>
      <c r="K72" s="65"/>
      <c r="L72" s="65"/>
      <c r="M72" s="68"/>
      <c r="N72" s="65"/>
      <c r="O72" s="65"/>
      <c r="P72" s="65"/>
      <c r="Q72" s="65"/>
      <c r="R72" s="65"/>
    </row>
    <row r="73" spans="2:18" ht="15" x14ac:dyDescent="0.25">
      <c r="B73" s="69"/>
      <c r="D73" s="70"/>
      <c r="E73" s="65"/>
      <c r="F73" s="65"/>
      <c r="G73" s="65"/>
      <c r="H73" s="65"/>
      <c r="I73" s="65"/>
      <c r="J73" s="65"/>
      <c r="K73" s="65"/>
      <c r="L73" s="65"/>
      <c r="M73" s="68"/>
      <c r="N73" s="65"/>
      <c r="O73" s="65"/>
      <c r="P73" s="65"/>
      <c r="Q73" s="65"/>
      <c r="R73" s="65"/>
    </row>
    <row r="74" spans="2:18" ht="15" x14ac:dyDescent="0.25">
      <c r="B74" s="69"/>
      <c r="D74" s="70"/>
      <c r="E74" s="65"/>
      <c r="F74" s="65"/>
      <c r="G74" s="65"/>
      <c r="H74" s="65"/>
      <c r="I74" s="65"/>
      <c r="J74" s="65"/>
      <c r="K74" s="65"/>
      <c r="L74" s="65"/>
      <c r="M74" s="68"/>
      <c r="N74" s="65"/>
      <c r="O74" s="65"/>
      <c r="P74" s="65"/>
      <c r="Q74" s="65"/>
      <c r="R74" s="65"/>
    </row>
    <row r="75" spans="2:18" ht="15" x14ac:dyDescent="0.25">
      <c r="B75" s="69"/>
      <c r="D75" s="70"/>
      <c r="E75" s="65"/>
      <c r="F75" s="65"/>
      <c r="G75" s="65"/>
      <c r="H75" s="65"/>
      <c r="I75" s="65"/>
      <c r="J75" s="65"/>
      <c r="K75" s="65"/>
      <c r="L75" s="65"/>
      <c r="M75" s="68"/>
      <c r="N75" s="65"/>
      <c r="O75" s="65"/>
      <c r="P75" s="65"/>
      <c r="Q75" s="65"/>
      <c r="R75" s="65"/>
    </row>
    <row r="76" spans="2:18" ht="15" x14ac:dyDescent="0.25">
      <c r="B76" s="69"/>
      <c r="D76" s="70"/>
      <c r="E76" s="65"/>
      <c r="F76" s="65"/>
      <c r="G76" s="65"/>
      <c r="H76" s="65"/>
      <c r="I76" s="65"/>
      <c r="J76" s="65"/>
      <c r="K76" s="65"/>
      <c r="L76" s="65"/>
      <c r="M76" s="68"/>
      <c r="N76" s="65"/>
      <c r="O76" s="65"/>
      <c r="P76" s="65"/>
      <c r="Q76" s="65"/>
      <c r="R76" s="65"/>
    </row>
    <row r="77" spans="2:18" ht="15" x14ac:dyDescent="0.25">
      <c r="B77" s="69"/>
      <c r="D77" s="70"/>
      <c r="E77" s="65"/>
      <c r="F77" s="65"/>
      <c r="G77" s="65"/>
      <c r="H77" s="65"/>
      <c r="I77" s="65"/>
      <c r="J77" s="65"/>
      <c r="K77" s="65"/>
      <c r="L77" s="65"/>
      <c r="M77" s="68"/>
      <c r="N77" s="65"/>
      <c r="O77" s="65"/>
      <c r="P77" s="65"/>
      <c r="Q77" s="65"/>
      <c r="R77" s="65"/>
    </row>
    <row r="78" spans="2:18" ht="15" x14ac:dyDescent="0.25">
      <c r="B78" s="69"/>
      <c r="D78" s="70"/>
      <c r="E78" s="65"/>
      <c r="F78" s="65"/>
      <c r="G78" s="65"/>
      <c r="H78" s="65"/>
      <c r="I78" s="65"/>
      <c r="J78" s="65"/>
      <c r="K78" s="65"/>
      <c r="L78" s="65"/>
      <c r="M78" s="68"/>
      <c r="N78" s="65"/>
      <c r="O78" s="65"/>
      <c r="P78" s="65"/>
      <c r="Q78" s="65"/>
      <c r="R78" s="65"/>
    </row>
    <row r="79" spans="2:18" ht="15" x14ac:dyDescent="0.25">
      <c r="B79" s="69"/>
      <c r="D79" s="70"/>
      <c r="E79" s="65"/>
      <c r="F79" s="65"/>
      <c r="G79" s="65"/>
      <c r="H79" s="65"/>
      <c r="I79" s="65"/>
      <c r="J79" s="65"/>
      <c r="K79" s="65"/>
      <c r="L79" s="65"/>
      <c r="M79" s="68"/>
      <c r="N79" s="65"/>
      <c r="O79" s="65"/>
      <c r="P79" s="65"/>
      <c r="Q79" s="65"/>
      <c r="R79" s="65"/>
    </row>
    <row r="80" spans="2:18" ht="15" x14ac:dyDescent="0.25">
      <c r="B80" s="69"/>
      <c r="D80" s="70"/>
      <c r="E80" s="65"/>
      <c r="F80" s="65"/>
      <c r="G80" s="65"/>
      <c r="H80" s="65"/>
      <c r="I80" s="65"/>
      <c r="J80" s="65"/>
      <c r="K80" s="65"/>
      <c r="L80" s="65"/>
      <c r="M80" s="68"/>
      <c r="N80" s="65"/>
      <c r="O80" s="65"/>
      <c r="P80" s="65"/>
      <c r="Q80" s="65"/>
      <c r="R80" s="65"/>
    </row>
    <row r="81" spans="2:18" ht="15" x14ac:dyDescent="0.25">
      <c r="B81" s="69"/>
      <c r="D81" s="70"/>
      <c r="E81" s="65"/>
      <c r="F81" s="65"/>
      <c r="G81" s="65"/>
      <c r="H81" s="65"/>
      <c r="I81" s="65"/>
      <c r="J81" s="65"/>
      <c r="K81" s="65"/>
      <c r="L81" s="65"/>
      <c r="M81" s="68"/>
      <c r="N81" s="65"/>
      <c r="O81" s="65"/>
      <c r="P81" s="65"/>
      <c r="Q81" s="65"/>
      <c r="R81" s="65"/>
    </row>
    <row r="82" spans="2:18" ht="15" x14ac:dyDescent="0.25">
      <c r="B82" s="69"/>
      <c r="D82" s="70"/>
      <c r="E82" s="65"/>
      <c r="F82" s="65"/>
      <c r="G82" s="65"/>
      <c r="H82" s="65"/>
      <c r="I82" s="65"/>
      <c r="J82" s="65"/>
      <c r="K82" s="65"/>
      <c r="L82" s="65"/>
      <c r="M82" s="68"/>
      <c r="N82" s="65"/>
      <c r="O82" s="65"/>
      <c r="P82" s="65"/>
      <c r="Q82" s="65"/>
      <c r="R82" s="65"/>
    </row>
    <row r="83" spans="2:18" ht="15" x14ac:dyDescent="0.25">
      <c r="B83" s="69"/>
      <c r="D83" s="70"/>
      <c r="E83" s="65"/>
      <c r="F83" s="65"/>
      <c r="G83" s="65"/>
      <c r="H83" s="65"/>
      <c r="I83" s="65"/>
      <c r="J83" s="65"/>
      <c r="K83" s="65"/>
      <c r="L83" s="65"/>
      <c r="M83" s="68"/>
      <c r="N83" s="65"/>
      <c r="O83" s="65"/>
      <c r="P83" s="65"/>
      <c r="Q83" s="65"/>
      <c r="R83" s="65"/>
    </row>
    <row r="84" spans="2:18" ht="15" x14ac:dyDescent="0.25">
      <c r="B84" s="69"/>
      <c r="D84" s="70"/>
      <c r="E84" s="65"/>
      <c r="F84" s="65"/>
      <c r="G84" s="65"/>
      <c r="H84" s="65"/>
      <c r="I84" s="65"/>
      <c r="J84" s="65"/>
      <c r="K84" s="65"/>
      <c r="L84" s="65"/>
      <c r="M84" s="68"/>
      <c r="N84" s="65"/>
      <c r="O84" s="65"/>
      <c r="P84" s="65"/>
      <c r="Q84" s="65"/>
      <c r="R84" s="65"/>
    </row>
    <row r="85" spans="2:18" ht="15" x14ac:dyDescent="0.25">
      <c r="B85" s="69"/>
      <c r="D85" s="70"/>
      <c r="E85" s="65"/>
      <c r="F85" s="65"/>
      <c r="G85" s="65"/>
      <c r="H85" s="65"/>
      <c r="I85" s="65"/>
      <c r="J85" s="65"/>
      <c r="K85" s="65"/>
      <c r="L85" s="65"/>
      <c r="M85" s="68"/>
      <c r="N85" s="65"/>
      <c r="O85" s="65"/>
      <c r="P85" s="65"/>
      <c r="Q85" s="65"/>
      <c r="R85" s="65"/>
    </row>
    <row r="86" spans="2:18" ht="15" x14ac:dyDescent="0.25">
      <c r="B86" s="69"/>
      <c r="D86" s="70"/>
      <c r="E86" s="65"/>
      <c r="F86" s="65"/>
      <c r="G86" s="65"/>
      <c r="H86" s="65"/>
      <c r="I86" s="65"/>
      <c r="J86" s="65"/>
      <c r="K86" s="65"/>
      <c r="L86" s="65"/>
      <c r="M86" s="68"/>
      <c r="N86" s="65"/>
      <c r="O86" s="65"/>
      <c r="P86" s="65"/>
      <c r="Q86" s="65"/>
      <c r="R86" s="65"/>
    </row>
    <row r="87" spans="2:18" ht="15" x14ac:dyDescent="0.25">
      <c r="B87" s="69"/>
      <c r="D87" s="70"/>
      <c r="E87" s="65"/>
      <c r="F87" s="65"/>
      <c r="G87" s="65"/>
      <c r="H87" s="65"/>
      <c r="I87" s="65"/>
      <c r="J87" s="65"/>
      <c r="K87" s="65"/>
      <c r="L87" s="65"/>
      <c r="M87" s="68"/>
      <c r="N87" s="65"/>
      <c r="O87" s="65"/>
      <c r="P87" s="65"/>
      <c r="Q87" s="65"/>
      <c r="R87" s="65"/>
    </row>
    <row r="88" spans="2:18" ht="15" x14ac:dyDescent="0.25">
      <c r="B88" s="69"/>
      <c r="D88" s="70"/>
      <c r="E88" s="65"/>
      <c r="F88" s="65"/>
      <c r="G88" s="65"/>
      <c r="H88" s="65"/>
      <c r="I88" s="65"/>
      <c r="J88" s="65"/>
      <c r="K88" s="65"/>
      <c r="L88" s="65"/>
      <c r="M88" s="68"/>
      <c r="N88" s="65"/>
      <c r="O88" s="65"/>
      <c r="P88" s="65"/>
      <c r="Q88" s="65"/>
      <c r="R88" s="65"/>
    </row>
    <row r="89" spans="2:18" ht="15" x14ac:dyDescent="0.25">
      <c r="B89" s="69"/>
      <c r="D89" s="70"/>
      <c r="E89" s="65"/>
      <c r="F89" s="65"/>
      <c r="G89" s="65"/>
      <c r="H89" s="65"/>
      <c r="I89" s="65"/>
      <c r="J89" s="65"/>
      <c r="K89" s="65"/>
      <c r="L89" s="65"/>
      <c r="M89" s="68"/>
      <c r="N89" s="65"/>
      <c r="O89" s="65"/>
      <c r="P89" s="65"/>
      <c r="Q89" s="65"/>
      <c r="R89" s="65"/>
    </row>
    <row r="90" spans="2:18" ht="15" x14ac:dyDescent="0.25">
      <c r="B90" s="69"/>
      <c r="D90" s="70"/>
      <c r="E90" s="65"/>
      <c r="F90" s="65"/>
      <c r="G90" s="65"/>
      <c r="H90" s="65"/>
      <c r="I90" s="65"/>
      <c r="J90" s="65"/>
      <c r="K90" s="65"/>
      <c r="L90" s="65"/>
      <c r="M90" s="68"/>
      <c r="N90" s="65"/>
      <c r="O90" s="65"/>
      <c r="P90" s="65"/>
      <c r="Q90" s="65"/>
      <c r="R90" s="65"/>
    </row>
    <row r="91" spans="2:18" ht="15" x14ac:dyDescent="0.25">
      <c r="B91" s="69"/>
      <c r="D91" s="70"/>
      <c r="E91" s="65"/>
      <c r="F91" s="65"/>
      <c r="G91" s="65"/>
      <c r="H91" s="65"/>
      <c r="I91" s="65"/>
      <c r="J91" s="65"/>
      <c r="K91" s="65"/>
      <c r="L91" s="65"/>
      <c r="M91" s="68"/>
      <c r="N91" s="65"/>
      <c r="O91" s="65"/>
      <c r="P91" s="65"/>
      <c r="Q91" s="65"/>
      <c r="R91" s="65"/>
    </row>
    <row r="92" spans="2:18" ht="15" x14ac:dyDescent="0.25">
      <c r="B92" s="69"/>
      <c r="D92" s="70"/>
      <c r="E92" s="65"/>
      <c r="F92" s="65"/>
      <c r="G92" s="65"/>
      <c r="H92" s="65"/>
      <c r="I92" s="65"/>
      <c r="J92" s="65"/>
      <c r="K92" s="65"/>
      <c r="L92" s="65"/>
      <c r="M92" s="68"/>
      <c r="N92" s="65"/>
      <c r="O92" s="65"/>
      <c r="P92" s="65"/>
      <c r="Q92" s="65"/>
      <c r="R92" s="65"/>
    </row>
    <row r="93" spans="2:18" ht="15" x14ac:dyDescent="0.25">
      <c r="B93" s="69"/>
      <c r="D93" s="70"/>
      <c r="E93" s="65"/>
      <c r="F93" s="65"/>
      <c r="G93" s="65"/>
      <c r="H93" s="65"/>
      <c r="I93" s="65"/>
      <c r="J93" s="65"/>
      <c r="K93" s="65"/>
      <c r="L93" s="65"/>
      <c r="M93" s="68"/>
      <c r="N93" s="65"/>
      <c r="O93" s="65"/>
      <c r="P93" s="65"/>
      <c r="Q93" s="65"/>
      <c r="R93" s="65"/>
    </row>
    <row r="94" spans="2:18" ht="15" x14ac:dyDescent="0.25">
      <c r="B94" s="69"/>
      <c r="D94" s="70"/>
      <c r="E94" s="65"/>
      <c r="F94" s="65"/>
      <c r="G94" s="65"/>
      <c r="H94" s="65"/>
      <c r="I94" s="65"/>
      <c r="J94" s="65"/>
      <c r="K94" s="65"/>
      <c r="L94" s="65"/>
      <c r="M94" s="68"/>
      <c r="N94" s="65"/>
      <c r="O94" s="65"/>
      <c r="P94" s="65"/>
      <c r="Q94" s="65"/>
      <c r="R94" s="65"/>
    </row>
    <row r="95" spans="2:18" ht="15" x14ac:dyDescent="0.25">
      <c r="B95" s="69"/>
      <c r="D95" s="70"/>
      <c r="E95" s="65"/>
      <c r="F95" s="65"/>
      <c r="G95" s="65"/>
      <c r="H95" s="65"/>
      <c r="I95" s="65"/>
      <c r="J95" s="65"/>
      <c r="K95" s="65"/>
      <c r="L95" s="65"/>
      <c r="M95" s="68"/>
      <c r="N95" s="65"/>
      <c r="O95" s="65"/>
      <c r="P95" s="65"/>
      <c r="Q95" s="65"/>
      <c r="R95" s="65"/>
    </row>
    <row r="96" spans="2:18" ht="15" x14ac:dyDescent="0.25">
      <c r="B96" s="69"/>
      <c r="D96" s="70"/>
      <c r="E96" s="65"/>
      <c r="F96" s="65"/>
      <c r="G96" s="65"/>
      <c r="H96" s="65"/>
      <c r="I96" s="65"/>
      <c r="J96" s="65"/>
      <c r="K96" s="65"/>
      <c r="L96" s="65"/>
      <c r="M96" s="68"/>
      <c r="N96" s="65"/>
      <c r="O96" s="65"/>
      <c r="P96" s="65"/>
      <c r="Q96" s="65"/>
      <c r="R96" s="65"/>
    </row>
    <row r="97" spans="2:18" ht="15" x14ac:dyDescent="0.25">
      <c r="B97" s="69"/>
      <c r="D97" s="70"/>
      <c r="E97" s="65"/>
      <c r="F97" s="65"/>
      <c r="G97" s="65"/>
      <c r="H97" s="65"/>
      <c r="I97" s="65"/>
      <c r="J97" s="65"/>
      <c r="K97" s="65"/>
      <c r="L97" s="65"/>
      <c r="M97" s="68"/>
      <c r="N97" s="65"/>
      <c r="O97" s="65"/>
      <c r="P97" s="65"/>
      <c r="Q97" s="65"/>
      <c r="R97" s="65"/>
    </row>
    <row r="98" spans="2:18" ht="15" x14ac:dyDescent="0.25">
      <c r="B98" s="69"/>
      <c r="D98" s="70"/>
      <c r="E98" s="65"/>
      <c r="F98" s="65"/>
      <c r="G98" s="65"/>
      <c r="H98" s="65"/>
      <c r="I98" s="65"/>
      <c r="J98" s="65"/>
      <c r="K98" s="65"/>
      <c r="L98" s="65"/>
      <c r="M98" s="68"/>
      <c r="N98" s="65"/>
      <c r="O98" s="65"/>
      <c r="P98" s="65"/>
      <c r="Q98" s="65"/>
      <c r="R98" s="65"/>
    </row>
    <row r="99" spans="2:18" ht="15" x14ac:dyDescent="0.25">
      <c r="B99" s="69"/>
      <c r="D99" s="70"/>
      <c r="E99" s="65"/>
      <c r="F99" s="65"/>
      <c r="G99" s="65"/>
      <c r="H99" s="65"/>
      <c r="I99" s="65"/>
      <c r="J99" s="65"/>
      <c r="K99" s="65"/>
      <c r="L99" s="65"/>
      <c r="M99" s="68"/>
      <c r="N99" s="65"/>
      <c r="O99" s="65"/>
      <c r="P99" s="65"/>
      <c r="Q99" s="65"/>
      <c r="R99" s="65"/>
    </row>
    <row r="100" spans="2:18" ht="15" x14ac:dyDescent="0.25">
      <c r="B100" s="69"/>
      <c r="D100" s="70"/>
      <c r="E100" s="65"/>
      <c r="F100" s="65"/>
      <c r="G100" s="65"/>
      <c r="H100" s="65"/>
      <c r="I100" s="65"/>
      <c r="J100" s="65"/>
      <c r="K100" s="65"/>
      <c r="L100" s="65"/>
      <c r="M100" s="68"/>
      <c r="N100" s="65"/>
      <c r="O100" s="65"/>
      <c r="P100" s="65"/>
      <c r="Q100" s="65"/>
      <c r="R100" s="65"/>
    </row>
    <row r="101" spans="2:18" ht="15" x14ac:dyDescent="0.25">
      <c r="B101" s="69"/>
      <c r="D101" s="70"/>
      <c r="E101" s="65"/>
      <c r="F101" s="65"/>
      <c r="G101" s="65"/>
      <c r="H101" s="65"/>
      <c r="I101" s="65"/>
      <c r="J101" s="65"/>
      <c r="K101" s="65"/>
      <c r="L101" s="65"/>
      <c r="M101" s="68"/>
      <c r="N101" s="65"/>
      <c r="O101" s="65"/>
      <c r="P101" s="65"/>
      <c r="Q101" s="65"/>
      <c r="R101" s="65"/>
    </row>
    <row r="102" spans="2:18" ht="15" x14ac:dyDescent="0.25">
      <c r="B102" s="69"/>
      <c r="D102" s="70"/>
      <c r="E102" s="65"/>
      <c r="F102" s="65"/>
      <c r="G102" s="65"/>
      <c r="H102" s="65"/>
      <c r="I102" s="65"/>
      <c r="J102" s="65"/>
      <c r="K102" s="65"/>
      <c r="L102" s="65"/>
      <c r="M102" s="68"/>
      <c r="N102" s="65"/>
      <c r="O102" s="65"/>
      <c r="P102" s="65"/>
      <c r="Q102" s="65"/>
      <c r="R102" s="65"/>
    </row>
    <row r="103" spans="2:18" ht="15" x14ac:dyDescent="0.25">
      <c r="B103" s="69"/>
      <c r="D103" s="70"/>
      <c r="E103" s="65"/>
      <c r="F103" s="65"/>
      <c r="G103" s="65"/>
      <c r="H103" s="65"/>
      <c r="I103" s="65"/>
      <c r="J103" s="65"/>
      <c r="K103" s="65"/>
      <c r="L103" s="65"/>
      <c r="M103" s="68"/>
      <c r="N103" s="65"/>
      <c r="O103" s="65"/>
      <c r="P103" s="65"/>
      <c r="Q103" s="65"/>
      <c r="R103" s="65"/>
    </row>
    <row r="104" spans="2:18" ht="15" x14ac:dyDescent="0.25">
      <c r="B104" s="69"/>
      <c r="D104" s="70"/>
      <c r="E104" s="65"/>
      <c r="F104" s="65"/>
      <c r="G104" s="65"/>
      <c r="H104" s="65"/>
      <c r="I104" s="65"/>
      <c r="J104" s="65"/>
      <c r="K104" s="65"/>
      <c r="L104" s="65"/>
      <c r="M104" s="68"/>
      <c r="N104" s="65"/>
      <c r="O104" s="65"/>
      <c r="P104" s="65"/>
      <c r="Q104" s="65"/>
      <c r="R104" s="65"/>
    </row>
    <row r="105" spans="2:18" ht="15" x14ac:dyDescent="0.25">
      <c r="B105" s="69"/>
      <c r="D105" s="70"/>
      <c r="E105" s="65"/>
      <c r="F105" s="65"/>
      <c r="G105" s="65"/>
      <c r="H105" s="65"/>
      <c r="I105" s="65"/>
      <c r="J105" s="65"/>
      <c r="K105" s="65"/>
      <c r="L105" s="65"/>
      <c r="M105" s="68"/>
      <c r="N105" s="65"/>
      <c r="O105" s="65"/>
      <c r="P105" s="65"/>
      <c r="Q105" s="65"/>
      <c r="R105" s="65"/>
    </row>
    <row r="106" spans="2:18" ht="15" x14ac:dyDescent="0.25">
      <c r="B106" s="69"/>
      <c r="D106" s="70"/>
      <c r="E106" s="65"/>
      <c r="F106" s="65"/>
      <c r="G106" s="65"/>
      <c r="H106" s="65"/>
      <c r="I106" s="65"/>
      <c r="J106" s="65"/>
      <c r="K106" s="65"/>
      <c r="L106" s="65"/>
      <c r="M106" s="68"/>
      <c r="N106" s="65"/>
      <c r="O106" s="65"/>
      <c r="P106" s="65"/>
      <c r="Q106" s="65"/>
      <c r="R106" s="65"/>
    </row>
    <row r="107" spans="2:18" ht="15" x14ac:dyDescent="0.25">
      <c r="B107" s="69"/>
      <c r="D107" s="70"/>
      <c r="E107" s="65"/>
      <c r="F107" s="65"/>
      <c r="G107" s="65"/>
      <c r="H107" s="65"/>
      <c r="I107" s="65"/>
      <c r="J107" s="65"/>
      <c r="K107" s="65"/>
      <c r="L107" s="65"/>
      <c r="M107" s="68"/>
      <c r="N107" s="65"/>
      <c r="O107" s="65"/>
      <c r="P107" s="65"/>
      <c r="Q107" s="65"/>
      <c r="R107" s="65"/>
    </row>
    <row r="108" spans="2:18" ht="15" x14ac:dyDescent="0.25">
      <c r="B108" s="69"/>
      <c r="D108" s="70"/>
      <c r="E108" s="65"/>
      <c r="F108" s="65"/>
      <c r="G108" s="65"/>
      <c r="H108" s="65"/>
      <c r="I108" s="65"/>
      <c r="J108" s="65"/>
      <c r="K108" s="65"/>
      <c r="L108" s="65"/>
      <c r="M108" s="68"/>
      <c r="N108" s="65"/>
      <c r="O108" s="65"/>
      <c r="P108" s="65"/>
      <c r="Q108" s="65"/>
      <c r="R108" s="65"/>
    </row>
    <row r="109" spans="2:18" ht="15" x14ac:dyDescent="0.25">
      <c r="B109" s="69"/>
      <c r="D109" s="70"/>
      <c r="E109" s="65"/>
      <c r="F109" s="65"/>
      <c r="G109" s="65"/>
      <c r="H109" s="65"/>
      <c r="I109" s="65"/>
      <c r="J109" s="65"/>
      <c r="K109" s="65"/>
      <c r="L109" s="65"/>
      <c r="M109" s="68"/>
      <c r="N109" s="65"/>
      <c r="O109" s="65"/>
      <c r="P109" s="65"/>
      <c r="Q109" s="65"/>
      <c r="R109" s="65"/>
    </row>
    <row r="110" spans="2:18" ht="15" x14ac:dyDescent="0.25">
      <c r="B110" s="69"/>
      <c r="D110" s="70"/>
      <c r="E110" s="65"/>
      <c r="F110" s="65"/>
      <c r="G110" s="65"/>
      <c r="H110" s="65"/>
      <c r="I110" s="65"/>
      <c r="J110" s="65"/>
      <c r="K110" s="65"/>
      <c r="L110" s="65"/>
      <c r="M110" s="68"/>
      <c r="N110" s="65"/>
      <c r="O110" s="65"/>
      <c r="P110" s="65"/>
      <c r="Q110" s="65"/>
      <c r="R110" s="65"/>
    </row>
    <row r="111" spans="2:18" ht="15" x14ac:dyDescent="0.25">
      <c r="B111" s="69"/>
      <c r="D111" s="70"/>
      <c r="E111" s="65"/>
      <c r="F111" s="65"/>
      <c r="G111" s="65"/>
      <c r="H111" s="65"/>
      <c r="I111" s="65"/>
      <c r="J111" s="65"/>
      <c r="K111" s="65"/>
      <c r="L111" s="65"/>
      <c r="M111" s="68"/>
      <c r="N111" s="65"/>
      <c r="O111" s="65"/>
      <c r="P111" s="65"/>
      <c r="Q111" s="65"/>
      <c r="R111" s="65"/>
    </row>
    <row r="112" spans="2:18" ht="15" x14ac:dyDescent="0.25">
      <c r="B112" s="69"/>
      <c r="D112" s="70"/>
      <c r="E112" s="65"/>
      <c r="F112" s="65"/>
      <c r="G112" s="65"/>
      <c r="H112" s="65"/>
      <c r="I112" s="65"/>
      <c r="J112" s="65"/>
      <c r="K112" s="65"/>
      <c r="L112" s="65"/>
      <c r="M112" s="68"/>
      <c r="N112" s="65"/>
      <c r="O112" s="65"/>
      <c r="P112" s="65"/>
      <c r="Q112" s="65"/>
      <c r="R112" s="65"/>
    </row>
    <row r="113" spans="2:18" ht="15" x14ac:dyDescent="0.25">
      <c r="B113" s="69"/>
      <c r="D113" s="70"/>
      <c r="E113" s="65"/>
      <c r="F113" s="65"/>
      <c r="G113" s="65"/>
      <c r="H113" s="65"/>
      <c r="I113" s="65"/>
      <c r="J113" s="65"/>
      <c r="K113" s="65"/>
      <c r="L113" s="65"/>
      <c r="M113" s="68"/>
      <c r="N113" s="65"/>
      <c r="O113" s="65"/>
      <c r="P113" s="65"/>
      <c r="Q113" s="65"/>
      <c r="R113" s="65"/>
    </row>
    <row r="114" spans="2:18" ht="15" x14ac:dyDescent="0.25">
      <c r="B114" s="69"/>
      <c r="D114" s="70"/>
      <c r="E114" s="65"/>
      <c r="F114" s="65"/>
      <c r="G114" s="65"/>
      <c r="H114" s="65"/>
      <c r="I114" s="65"/>
      <c r="J114" s="65"/>
      <c r="K114" s="65"/>
      <c r="L114" s="65"/>
      <c r="M114" s="68"/>
      <c r="N114" s="65"/>
      <c r="O114" s="65"/>
      <c r="P114" s="65"/>
      <c r="Q114" s="65"/>
      <c r="R114" s="65"/>
    </row>
    <row r="115" spans="2:18" ht="15" x14ac:dyDescent="0.25">
      <c r="B115" s="69"/>
      <c r="D115" s="70"/>
      <c r="E115" s="65"/>
      <c r="F115" s="65"/>
      <c r="G115" s="65"/>
      <c r="H115" s="65"/>
      <c r="I115" s="65"/>
      <c r="J115" s="65"/>
      <c r="K115" s="65"/>
      <c r="L115" s="65"/>
      <c r="M115" s="68"/>
      <c r="N115" s="65"/>
      <c r="O115" s="65"/>
      <c r="P115" s="65"/>
      <c r="Q115" s="65"/>
      <c r="R115" s="65"/>
    </row>
    <row r="116" spans="2:18" ht="15" x14ac:dyDescent="0.25">
      <c r="B116" s="69"/>
      <c r="D116" s="70"/>
      <c r="E116" s="65"/>
      <c r="F116" s="65"/>
      <c r="G116" s="65"/>
      <c r="H116" s="65"/>
      <c r="I116" s="65"/>
      <c r="J116" s="65"/>
      <c r="K116" s="65"/>
      <c r="L116" s="65"/>
      <c r="M116" s="68"/>
      <c r="N116" s="65"/>
      <c r="O116" s="65"/>
      <c r="P116" s="65"/>
      <c r="Q116" s="65"/>
      <c r="R116" s="65"/>
    </row>
    <row r="117" spans="2:18" ht="15" x14ac:dyDescent="0.25">
      <c r="B117" s="69"/>
      <c r="D117" s="70"/>
      <c r="E117" s="65"/>
      <c r="F117" s="65"/>
      <c r="G117" s="65"/>
      <c r="H117" s="65"/>
      <c r="I117" s="65"/>
      <c r="J117" s="65"/>
      <c r="K117" s="65"/>
      <c r="L117" s="65"/>
      <c r="M117" s="68"/>
      <c r="N117" s="65"/>
      <c r="O117" s="65"/>
      <c r="P117" s="65"/>
      <c r="Q117" s="65"/>
      <c r="R117" s="65"/>
    </row>
    <row r="118" spans="2:18" ht="15" x14ac:dyDescent="0.25">
      <c r="B118" s="69"/>
      <c r="D118" s="70"/>
      <c r="E118" s="65"/>
      <c r="F118" s="65"/>
      <c r="G118" s="65"/>
      <c r="H118" s="65"/>
      <c r="I118" s="65"/>
      <c r="J118" s="65"/>
      <c r="K118" s="65"/>
      <c r="L118" s="65"/>
      <c r="M118" s="68"/>
      <c r="N118" s="65"/>
      <c r="O118" s="65"/>
      <c r="P118" s="65"/>
      <c r="Q118" s="65"/>
      <c r="R118" s="65"/>
    </row>
    <row r="119" spans="2:18" ht="15" x14ac:dyDescent="0.25">
      <c r="B119" s="69"/>
      <c r="D119" s="70"/>
      <c r="E119" s="65"/>
      <c r="F119" s="65"/>
      <c r="G119" s="65"/>
      <c r="H119" s="65"/>
      <c r="I119" s="65"/>
      <c r="J119" s="65"/>
      <c r="K119" s="65"/>
      <c r="L119" s="65"/>
      <c r="M119" s="68"/>
      <c r="N119" s="65"/>
      <c r="O119" s="65"/>
      <c r="P119" s="65"/>
      <c r="Q119" s="65"/>
      <c r="R119" s="65"/>
    </row>
    <row r="120" spans="2:18" ht="15" x14ac:dyDescent="0.25">
      <c r="B120" s="69"/>
      <c r="D120" s="70"/>
      <c r="E120" s="65"/>
      <c r="F120" s="65"/>
      <c r="G120" s="65"/>
      <c r="H120" s="65"/>
      <c r="I120" s="65"/>
      <c r="J120" s="65"/>
      <c r="K120" s="65"/>
      <c r="L120" s="65"/>
      <c r="M120" s="68"/>
      <c r="N120" s="65"/>
      <c r="O120" s="65"/>
      <c r="P120" s="65"/>
      <c r="Q120" s="65"/>
      <c r="R120" s="65"/>
    </row>
    <row r="121" spans="2:18" ht="15" x14ac:dyDescent="0.25">
      <c r="B121" s="69"/>
      <c r="D121" s="70"/>
      <c r="E121" s="65"/>
      <c r="F121" s="65"/>
      <c r="G121" s="65"/>
      <c r="H121" s="65"/>
      <c r="I121" s="65"/>
      <c r="J121" s="65"/>
      <c r="K121" s="65"/>
      <c r="L121" s="65"/>
      <c r="M121" s="68"/>
      <c r="N121" s="65"/>
      <c r="O121" s="65"/>
      <c r="P121" s="65"/>
      <c r="Q121" s="65"/>
      <c r="R121" s="65"/>
    </row>
    <row r="122" spans="2:18" ht="15" x14ac:dyDescent="0.25">
      <c r="B122" s="69"/>
      <c r="D122" s="70"/>
      <c r="E122" s="65"/>
      <c r="F122" s="65"/>
      <c r="G122" s="65"/>
      <c r="H122" s="65"/>
      <c r="I122" s="65"/>
      <c r="J122" s="65"/>
      <c r="K122" s="65"/>
      <c r="L122" s="65"/>
      <c r="M122" s="68"/>
      <c r="N122" s="65"/>
      <c r="O122" s="65"/>
      <c r="P122" s="65"/>
      <c r="Q122" s="65"/>
      <c r="R122" s="65"/>
    </row>
    <row r="123" spans="2:18" ht="15" x14ac:dyDescent="0.25">
      <c r="B123" s="69"/>
      <c r="D123" s="70"/>
      <c r="E123" s="65"/>
      <c r="F123" s="65"/>
      <c r="G123" s="65"/>
      <c r="H123" s="65"/>
      <c r="I123" s="65"/>
      <c r="J123" s="65"/>
      <c r="K123" s="65"/>
      <c r="L123" s="65"/>
      <c r="M123" s="68"/>
      <c r="N123" s="65"/>
      <c r="O123" s="65"/>
      <c r="P123" s="65"/>
      <c r="Q123" s="65"/>
      <c r="R123" s="65"/>
    </row>
    <row r="124" spans="2:18" ht="15" x14ac:dyDescent="0.25">
      <c r="B124" s="69"/>
      <c r="D124" s="70"/>
      <c r="E124" s="65"/>
      <c r="F124" s="65"/>
      <c r="G124" s="65"/>
      <c r="H124" s="65"/>
      <c r="I124" s="65"/>
      <c r="J124" s="65"/>
      <c r="K124" s="65"/>
      <c r="L124" s="65"/>
      <c r="M124" s="68"/>
      <c r="N124" s="65"/>
      <c r="O124" s="65"/>
      <c r="P124" s="65"/>
      <c r="Q124" s="65"/>
      <c r="R124" s="65"/>
    </row>
    <row r="125" spans="2:18" ht="15" x14ac:dyDescent="0.25">
      <c r="B125" s="69"/>
      <c r="D125" s="70"/>
      <c r="E125" s="65"/>
      <c r="F125" s="65"/>
      <c r="G125" s="65"/>
      <c r="H125" s="65"/>
      <c r="I125" s="65"/>
      <c r="J125" s="65"/>
      <c r="K125" s="65"/>
      <c r="L125" s="65"/>
      <c r="M125" s="68"/>
      <c r="N125" s="65"/>
      <c r="O125" s="65"/>
      <c r="P125" s="65"/>
      <c r="Q125" s="65"/>
      <c r="R125" s="65"/>
    </row>
    <row r="126" spans="2:18" ht="15" x14ac:dyDescent="0.25">
      <c r="B126" s="69"/>
      <c r="D126" s="70"/>
      <c r="E126" s="65"/>
      <c r="F126" s="65"/>
      <c r="G126" s="65"/>
      <c r="H126" s="65"/>
      <c r="I126" s="65"/>
      <c r="J126" s="65"/>
      <c r="K126" s="65"/>
      <c r="L126" s="65"/>
      <c r="M126" s="68"/>
      <c r="N126" s="65"/>
      <c r="O126" s="65"/>
      <c r="P126" s="65"/>
      <c r="Q126" s="65"/>
      <c r="R126" s="65"/>
    </row>
    <row r="127" spans="2:18" ht="15" x14ac:dyDescent="0.25">
      <c r="B127" s="69"/>
      <c r="D127" s="70"/>
      <c r="E127" s="65"/>
      <c r="F127" s="65"/>
      <c r="G127" s="65"/>
      <c r="H127" s="65"/>
      <c r="I127" s="65"/>
      <c r="J127" s="65"/>
      <c r="K127" s="65"/>
      <c r="L127" s="65"/>
      <c r="M127" s="68"/>
      <c r="N127" s="65"/>
      <c r="O127" s="65"/>
      <c r="P127" s="65"/>
      <c r="Q127" s="65"/>
      <c r="R127" s="65"/>
    </row>
    <row r="128" spans="2:18" ht="15" x14ac:dyDescent="0.25">
      <c r="B128" s="69"/>
      <c r="D128" s="70"/>
      <c r="E128" s="65"/>
      <c r="F128" s="65"/>
      <c r="G128" s="65"/>
      <c r="H128" s="65"/>
      <c r="I128" s="65"/>
      <c r="J128" s="65"/>
      <c r="K128" s="65"/>
      <c r="L128" s="65"/>
      <c r="M128" s="68"/>
      <c r="N128" s="65"/>
      <c r="O128" s="65"/>
      <c r="P128" s="65"/>
      <c r="Q128" s="65"/>
      <c r="R128" s="65"/>
    </row>
    <row r="129" spans="2:18" ht="15" x14ac:dyDescent="0.25">
      <c r="B129" s="69"/>
      <c r="D129" s="70"/>
      <c r="E129" s="65"/>
      <c r="F129" s="65"/>
      <c r="G129" s="65"/>
      <c r="H129" s="65"/>
      <c r="I129" s="65"/>
      <c r="J129" s="65"/>
      <c r="K129" s="65"/>
      <c r="L129" s="65"/>
      <c r="M129" s="68"/>
      <c r="N129" s="65"/>
      <c r="O129" s="65"/>
      <c r="P129" s="65"/>
      <c r="Q129" s="65"/>
      <c r="R129" s="65"/>
    </row>
    <row r="130" spans="2:18" ht="15" x14ac:dyDescent="0.25">
      <c r="B130" s="69"/>
      <c r="D130" s="70"/>
      <c r="E130" s="65"/>
      <c r="F130" s="65"/>
      <c r="G130" s="65"/>
      <c r="H130" s="65"/>
      <c r="I130" s="65"/>
      <c r="J130" s="65"/>
      <c r="K130" s="65"/>
      <c r="L130" s="65"/>
      <c r="M130" s="68"/>
      <c r="N130" s="65"/>
      <c r="O130" s="65"/>
      <c r="P130" s="65"/>
      <c r="Q130" s="65"/>
      <c r="R130" s="65"/>
    </row>
    <row r="131" spans="2:18" ht="15" x14ac:dyDescent="0.25">
      <c r="B131" s="69"/>
      <c r="D131" s="70"/>
      <c r="E131" s="65"/>
      <c r="F131" s="65"/>
      <c r="G131" s="65"/>
      <c r="H131" s="65"/>
      <c r="I131" s="65"/>
      <c r="J131" s="65"/>
      <c r="K131" s="65"/>
      <c r="L131" s="65"/>
      <c r="M131" s="68"/>
      <c r="N131" s="65"/>
      <c r="O131" s="65"/>
      <c r="P131" s="65"/>
      <c r="Q131" s="65"/>
      <c r="R131" s="65"/>
    </row>
    <row r="132" spans="2:18" ht="15" x14ac:dyDescent="0.25">
      <c r="B132" s="69"/>
      <c r="D132" s="70"/>
      <c r="E132" s="65"/>
      <c r="F132" s="65"/>
      <c r="G132" s="65"/>
      <c r="H132" s="65"/>
      <c r="I132" s="65"/>
      <c r="J132" s="65"/>
      <c r="K132" s="65"/>
      <c r="L132" s="65"/>
      <c r="M132" s="68"/>
      <c r="N132" s="65"/>
      <c r="O132" s="65"/>
      <c r="P132" s="65"/>
      <c r="Q132" s="65"/>
      <c r="R132" s="65"/>
    </row>
    <row r="133" spans="2:18" ht="15" x14ac:dyDescent="0.25">
      <c r="B133" s="69"/>
      <c r="D133" s="70"/>
      <c r="E133" s="65"/>
      <c r="F133" s="65"/>
      <c r="G133" s="65"/>
      <c r="H133" s="65"/>
      <c r="I133" s="65"/>
      <c r="J133" s="65"/>
      <c r="K133" s="65"/>
      <c r="L133" s="65"/>
      <c r="M133" s="68"/>
      <c r="N133" s="65"/>
      <c r="O133" s="65"/>
      <c r="P133" s="65"/>
      <c r="Q133" s="65"/>
      <c r="R133" s="65"/>
    </row>
    <row r="134" spans="2:18" ht="15" x14ac:dyDescent="0.25">
      <c r="B134" s="69"/>
      <c r="D134" s="70"/>
      <c r="E134" s="65"/>
      <c r="F134" s="65"/>
      <c r="G134" s="65"/>
      <c r="H134" s="65"/>
      <c r="I134" s="65"/>
      <c r="J134" s="65"/>
      <c r="K134" s="65"/>
      <c r="L134" s="65"/>
      <c r="M134" s="68"/>
      <c r="N134" s="65"/>
      <c r="O134" s="65"/>
      <c r="P134" s="65"/>
      <c r="Q134" s="65"/>
      <c r="R134" s="65"/>
    </row>
    <row r="135" spans="2:18" ht="15" x14ac:dyDescent="0.25">
      <c r="B135" s="69"/>
      <c r="D135" s="70"/>
      <c r="E135" s="65"/>
      <c r="F135" s="65"/>
      <c r="G135" s="65"/>
      <c r="H135" s="65"/>
      <c r="I135" s="65"/>
      <c r="J135" s="65"/>
      <c r="K135" s="65"/>
      <c r="L135" s="65"/>
      <c r="M135" s="68"/>
      <c r="N135" s="65"/>
      <c r="O135" s="65"/>
      <c r="P135" s="65"/>
      <c r="Q135" s="65"/>
      <c r="R135" s="65"/>
    </row>
    <row r="136" spans="2:18" ht="15" x14ac:dyDescent="0.25">
      <c r="B136" s="69"/>
      <c r="D136" s="70"/>
      <c r="E136" s="65"/>
      <c r="F136" s="65"/>
      <c r="G136" s="65"/>
      <c r="H136" s="65"/>
      <c r="I136" s="65"/>
      <c r="J136" s="65"/>
      <c r="K136" s="65"/>
      <c r="L136" s="65"/>
      <c r="M136" s="68"/>
      <c r="N136" s="65"/>
      <c r="O136" s="65"/>
      <c r="P136" s="65"/>
      <c r="Q136" s="65"/>
      <c r="R136" s="65"/>
    </row>
    <row r="137" spans="2:18" ht="15" x14ac:dyDescent="0.25">
      <c r="B137" s="69"/>
      <c r="D137" s="70"/>
      <c r="E137" s="65"/>
      <c r="F137" s="65"/>
      <c r="G137" s="65"/>
      <c r="H137" s="65"/>
      <c r="I137" s="65"/>
      <c r="J137" s="65"/>
      <c r="K137" s="65"/>
      <c r="L137" s="65"/>
      <c r="M137" s="68"/>
      <c r="N137" s="65"/>
      <c r="O137" s="65"/>
      <c r="P137" s="65"/>
      <c r="Q137" s="65"/>
      <c r="R137" s="65"/>
    </row>
    <row r="138" spans="2:18" ht="15" x14ac:dyDescent="0.25">
      <c r="B138" s="69"/>
      <c r="D138" s="70"/>
      <c r="E138" s="65"/>
      <c r="F138" s="65"/>
      <c r="G138" s="65"/>
      <c r="H138" s="65"/>
      <c r="I138" s="65"/>
      <c r="J138" s="65"/>
      <c r="K138" s="65"/>
      <c r="L138" s="65"/>
      <c r="M138" s="68"/>
      <c r="N138" s="65"/>
      <c r="O138" s="65"/>
      <c r="P138" s="65"/>
      <c r="Q138" s="65"/>
      <c r="R138" s="65"/>
    </row>
    <row r="139" spans="2:18" ht="15" x14ac:dyDescent="0.25">
      <c r="B139" s="69"/>
      <c r="D139" s="70"/>
      <c r="E139" s="65"/>
      <c r="F139" s="65"/>
      <c r="G139" s="65"/>
      <c r="H139" s="65"/>
      <c r="I139" s="65"/>
      <c r="J139" s="65"/>
      <c r="K139" s="65"/>
      <c r="L139" s="65"/>
      <c r="M139" s="68"/>
      <c r="N139" s="65"/>
      <c r="O139" s="65"/>
      <c r="P139" s="65"/>
      <c r="Q139" s="65"/>
      <c r="R139" s="65"/>
    </row>
    <row r="140" spans="2:18" ht="15" x14ac:dyDescent="0.25">
      <c r="B140" s="69"/>
      <c r="D140" s="70"/>
      <c r="E140" s="65"/>
      <c r="F140" s="65"/>
      <c r="G140" s="65"/>
      <c r="H140" s="65"/>
      <c r="I140" s="65"/>
      <c r="J140" s="65"/>
      <c r="K140" s="65"/>
      <c r="L140" s="65"/>
      <c r="M140" s="68"/>
      <c r="N140" s="65"/>
      <c r="O140" s="65"/>
      <c r="P140" s="65"/>
      <c r="Q140" s="65"/>
      <c r="R140" s="65"/>
    </row>
    <row r="141" spans="2:18" ht="15" x14ac:dyDescent="0.25">
      <c r="B141" s="69"/>
      <c r="D141" s="70"/>
      <c r="E141" s="65"/>
      <c r="F141" s="65"/>
      <c r="G141" s="65"/>
      <c r="H141" s="65"/>
      <c r="I141" s="65"/>
      <c r="J141" s="65"/>
      <c r="K141" s="65"/>
      <c r="L141" s="65"/>
      <c r="M141" s="68"/>
      <c r="N141" s="65"/>
      <c r="O141" s="65"/>
      <c r="P141" s="65"/>
      <c r="Q141" s="65"/>
      <c r="R141" s="65"/>
    </row>
    <row r="142" spans="2:18" ht="15" x14ac:dyDescent="0.25">
      <c r="B142" s="69"/>
      <c r="D142" s="70"/>
      <c r="E142" s="65"/>
      <c r="F142" s="65"/>
      <c r="G142" s="65"/>
      <c r="H142" s="65"/>
      <c r="I142" s="65"/>
      <c r="J142" s="65"/>
      <c r="K142" s="65"/>
      <c r="L142" s="65"/>
      <c r="M142" s="68"/>
      <c r="N142" s="65"/>
      <c r="O142" s="65"/>
      <c r="P142" s="65"/>
      <c r="Q142" s="65"/>
      <c r="R142" s="65"/>
    </row>
    <row r="143" spans="2:18" ht="15" x14ac:dyDescent="0.25">
      <c r="B143" s="69"/>
      <c r="D143" s="70"/>
      <c r="E143" s="65"/>
      <c r="F143" s="65"/>
      <c r="G143" s="65"/>
      <c r="H143" s="65"/>
      <c r="I143" s="65"/>
      <c r="J143" s="65"/>
      <c r="K143" s="65"/>
      <c r="L143" s="65"/>
      <c r="M143" s="68"/>
      <c r="N143" s="65"/>
      <c r="O143" s="65"/>
      <c r="P143" s="65"/>
      <c r="Q143" s="65"/>
      <c r="R143" s="65"/>
    </row>
    <row r="144" spans="2:18" ht="15" x14ac:dyDescent="0.25">
      <c r="B144" s="69"/>
      <c r="D144" s="70"/>
      <c r="E144" s="65"/>
      <c r="F144" s="65"/>
      <c r="G144" s="65"/>
      <c r="H144" s="65"/>
      <c r="I144" s="65"/>
      <c r="J144" s="65"/>
      <c r="K144" s="65"/>
      <c r="L144" s="65"/>
      <c r="M144" s="68"/>
      <c r="N144" s="65"/>
      <c r="O144" s="65"/>
      <c r="P144" s="65"/>
      <c r="Q144" s="65"/>
      <c r="R144" s="65"/>
    </row>
    <row r="145" spans="2:18" ht="15" x14ac:dyDescent="0.25">
      <c r="B145" s="69"/>
      <c r="D145" s="70"/>
      <c r="E145" s="65"/>
      <c r="F145" s="65"/>
      <c r="G145" s="65"/>
      <c r="H145" s="65"/>
      <c r="I145" s="65"/>
      <c r="J145" s="65"/>
      <c r="K145" s="65"/>
      <c r="L145" s="65"/>
      <c r="M145" s="68"/>
      <c r="N145" s="65"/>
      <c r="O145" s="65"/>
      <c r="P145" s="65"/>
      <c r="Q145" s="65"/>
      <c r="R145" s="65"/>
    </row>
    <row r="146" spans="2:18" ht="15" x14ac:dyDescent="0.25">
      <c r="B146" s="69"/>
      <c r="D146" s="70"/>
      <c r="E146" s="65"/>
      <c r="F146" s="65"/>
      <c r="G146" s="65"/>
      <c r="H146" s="65"/>
      <c r="I146" s="65"/>
      <c r="J146" s="65"/>
      <c r="K146" s="65"/>
      <c r="L146" s="65"/>
      <c r="M146" s="68"/>
      <c r="N146" s="65"/>
      <c r="O146" s="65"/>
      <c r="P146" s="65"/>
      <c r="Q146" s="65"/>
      <c r="R146" s="65"/>
    </row>
    <row r="147" spans="2:18" ht="15" x14ac:dyDescent="0.25">
      <c r="B147" s="69"/>
      <c r="D147" s="70"/>
      <c r="E147" s="65"/>
      <c r="F147" s="65"/>
      <c r="G147" s="65"/>
      <c r="H147" s="65"/>
      <c r="I147" s="65"/>
      <c r="J147" s="65"/>
      <c r="K147" s="65"/>
      <c r="L147" s="65"/>
      <c r="M147" s="68"/>
      <c r="N147" s="65"/>
      <c r="O147" s="65"/>
      <c r="P147" s="65"/>
      <c r="Q147" s="65"/>
      <c r="R147" s="65"/>
    </row>
    <row r="148" spans="2:18" ht="15" x14ac:dyDescent="0.25">
      <c r="B148" s="69"/>
      <c r="D148" s="70"/>
      <c r="E148" s="65"/>
      <c r="F148" s="65"/>
      <c r="G148" s="65"/>
      <c r="H148" s="65"/>
      <c r="I148" s="65"/>
      <c r="J148" s="65"/>
      <c r="K148" s="65"/>
      <c r="L148" s="65"/>
      <c r="M148" s="68"/>
      <c r="N148" s="65"/>
      <c r="O148" s="65"/>
      <c r="P148" s="65"/>
      <c r="Q148" s="65"/>
      <c r="R148" s="65"/>
    </row>
    <row r="149" spans="2:18" ht="15" x14ac:dyDescent="0.25">
      <c r="B149" s="69"/>
      <c r="D149" s="70"/>
      <c r="E149" s="65"/>
      <c r="F149" s="65"/>
      <c r="G149" s="65"/>
      <c r="H149" s="65"/>
      <c r="I149" s="65"/>
      <c r="J149" s="65"/>
      <c r="K149" s="65"/>
      <c r="L149" s="65"/>
      <c r="M149" s="68"/>
      <c r="N149" s="65"/>
      <c r="O149" s="65"/>
      <c r="P149" s="65"/>
      <c r="Q149" s="65"/>
      <c r="R149" s="65"/>
    </row>
    <row r="150" spans="2:18" ht="15" x14ac:dyDescent="0.25">
      <c r="B150" s="69"/>
      <c r="D150" s="70"/>
      <c r="E150" s="65"/>
      <c r="F150" s="65"/>
      <c r="G150" s="65"/>
      <c r="H150" s="65"/>
      <c r="I150" s="65"/>
      <c r="J150" s="65"/>
      <c r="K150" s="65"/>
      <c r="L150" s="65"/>
      <c r="M150" s="68"/>
      <c r="N150" s="65"/>
      <c r="O150" s="65"/>
      <c r="P150" s="65"/>
      <c r="Q150" s="65"/>
      <c r="R150" s="65"/>
    </row>
    <row r="151" spans="2:18" ht="15" x14ac:dyDescent="0.25">
      <c r="B151" s="69"/>
      <c r="D151" s="70"/>
      <c r="E151" s="65"/>
      <c r="F151" s="65"/>
      <c r="G151" s="65"/>
      <c r="H151" s="65"/>
      <c r="I151" s="65"/>
      <c r="J151" s="65"/>
      <c r="K151" s="65"/>
      <c r="L151" s="65"/>
      <c r="M151" s="68"/>
      <c r="N151" s="65"/>
      <c r="O151" s="65"/>
      <c r="P151" s="65"/>
      <c r="Q151" s="65"/>
      <c r="R151" s="65"/>
    </row>
    <row r="152" spans="2:18" ht="15" x14ac:dyDescent="0.25">
      <c r="B152" s="69"/>
      <c r="D152" s="70"/>
      <c r="E152" s="65"/>
      <c r="F152" s="65"/>
      <c r="G152" s="65"/>
      <c r="H152" s="65"/>
      <c r="I152" s="65"/>
      <c r="J152" s="65"/>
      <c r="K152" s="65"/>
      <c r="L152" s="65"/>
      <c r="M152" s="68"/>
      <c r="N152" s="65"/>
      <c r="O152" s="65"/>
      <c r="P152" s="65"/>
      <c r="Q152" s="65"/>
      <c r="R152" s="65"/>
    </row>
    <row r="153" spans="2:18" ht="15" x14ac:dyDescent="0.25">
      <c r="B153" s="69"/>
      <c r="D153" s="70"/>
      <c r="E153" s="65"/>
      <c r="F153" s="65"/>
      <c r="G153" s="65"/>
      <c r="H153" s="65"/>
      <c r="I153" s="65"/>
      <c r="J153" s="65"/>
      <c r="K153" s="65"/>
      <c r="L153" s="65"/>
      <c r="M153" s="68"/>
      <c r="N153" s="65"/>
      <c r="O153" s="65"/>
      <c r="P153" s="65"/>
      <c r="Q153" s="65"/>
      <c r="R153" s="65"/>
    </row>
    <row r="154" spans="2:18" ht="15" x14ac:dyDescent="0.25">
      <c r="B154" s="69"/>
      <c r="D154" s="70"/>
      <c r="E154" s="65"/>
      <c r="F154" s="65"/>
      <c r="G154" s="65"/>
      <c r="H154" s="65"/>
      <c r="I154" s="65"/>
      <c r="J154" s="65"/>
      <c r="K154" s="65"/>
      <c r="L154" s="65"/>
      <c r="M154" s="68"/>
      <c r="N154" s="65"/>
      <c r="O154" s="65"/>
      <c r="P154" s="65"/>
      <c r="Q154" s="65"/>
      <c r="R154" s="65"/>
    </row>
    <row r="155" spans="2:18" ht="15" x14ac:dyDescent="0.25">
      <c r="B155" s="69"/>
      <c r="D155" s="70"/>
      <c r="E155" s="65"/>
      <c r="F155" s="65"/>
      <c r="G155" s="65"/>
      <c r="H155" s="65"/>
      <c r="I155" s="65"/>
      <c r="J155" s="65"/>
      <c r="K155" s="65"/>
      <c r="L155" s="65"/>
      <c r="M155" s="68"/>
      <c r="N155" s="65"/>
      <c r="O155" s="65"/>
      <c r="P155" s="65"/>
      <c r="Q155" s="65"/>
      <c r="R155" s="65"/>
    </row>
    <row r="156" spans="2:18" ht="15" x14ac:dyDescent="0.25">
      <c r="B156" s="69"/>
      <c r="D156" s="70"/>
      <c r="E156" s="65"/>
      <c r="F156" s="65"/>
      <c r="G156" s="65"/>
      <c r="H156" s="65"/>
      <c r="I156" s="65"/>
      <c r="J156" s="65"/>
      <c r="K156" s="65"/>
      <c r="L156" s="65"/>
      <c r="M156" s="68"/>
      <c r="N156" s="65"/>
      <c r="O156" s="65"/>
      <c r="P156" s="65"/>
      <c r="Q156" s="65"/>
      <c r="R156" s="65"/>
    </row>
    <row r="157" spans="2:18" ht="15" x14ac:dyDescent="0.25">
      <c r="B157" s="69"/>
      <c r="D157" s="70"/>
      <c r="E157" s="65"/>
      <c r="F157" s="65"/>
      <c r="G157" s="65"/>
      <c r="H157" s="65"/>
      <c r="I157" s="65"/>
      <c r="J157" s="65"/>
      <c r="K157" s="65"/>
      <c r="L157" s="65"/>
      <c r="M157" s="68"/>
      <c r="N157" s="65"/>
      <c r="O157" s="65"/>
      <c r="P157" s="65"/>
      <c r="Q157" s="65"/>
      <c r="R157" s="65"/>
    </row>
    <row r="158" spans="2:18" ht="15" x14ac:dyDescent="0.25">
      <c r="B158" s="69"/>
      <c r="D158" s="70"/>
      <c r="E158" s="65"/>
      <c r="F158" s="65"/>
      <c r="G158" s="65"/>
      <c r="H158" s="65"/>
      <c r="I158" s="65"/>
      <c r="J158" s="65"/>
      <c r="K158" s="65"/>
      <c r="L158" s="65"/>
      <c r="M158" s="68"/>
      <c r="N158" s="65"/>
      <c r="O158" s="65"/>
      <c r="P158" s="65"/>
      <c r="Q158" s="65"/>
      <c r="R158" s="65"/>
    </row>
    <row r="159" spans="2:18" ht="15" x14ac:dyDescent="0.25">
      <c r="B159" s="69"/>
      <c r="D159" s="70"/>
      <c r="E159" s="65"/>
      <c r="F159" s="65"/>
      <c r="G159" s="65"/>
      <c r="H159" s="65"/>
      <c r="I159" s="65"/>
      <c r="J159" s="65"/>
      <c r="K159" s="65"/>
      <c r="L159" s="65"/>
      <c r="M159" s="68"/>
      <c r="N159" s="65"/>
      <c r="O159" s="65"/>
      <c r="P159" s="65"/>
      <c r="Q159" s="65"/>
      <c r="R159" s="65"/>
    </row>
    <row r="160" spans="2:18" ht="15" x14ac:dyDescent="0.25">
      <c r="B160" s="69"/>
      <c r="D160" s="70"/>
      <c r="E160" s="65"/>
      <c r="F160" s="65"/>
      <c r="G160" s="65"/>
      <c r="H160" s="65"/>
      <c r="I160" s="65"/>
      <c r="J160" s="65"/>
      <c r="K160" s="65"/>
      <c r="L160" s="65"/>
      <c r="M160" s="68"/>
      <c r="N160" s="65"/>
      <c r="O160" s="65"/>
      <c r="P160" s="65"/>
      <c r="Q160" s="65"/>
      <c r="R160" s="65"/>
    </row>
    <row r="161" spans="2:18" ht="15" x14ac:dyDescent="0.25">
      <c r="B161" s="69"/>
      <c r="D161" s="70"/>
      <c r="E161" s="65"/>
      <c r="F161" s="65"/>
      <c r="G161" s="65"/>
      <c r="H161" s="65"/>
      <c r="I161" s="65"/>
      <c r="J161" s="65"/>
      <c r="K161" s="65"/>
      <c r="L161" s="65"/>
      <c r="M161" s="68"/>
      <c r="N161" s="65"/>
      <c r="O161" s="65"/>
      <c r="P161" s="65"/>
      <c r="Q161" s="65"/>
      <c r="R161" s="65"/>
    </row>
    <row r="162" spans="2:18" ht="15" x14ac:dyDescent="0.25">
      <c r="B162" s="69"/>
      <c r="D162" s="70"/>
      <c r="E162" s="65"/>
      <c r="F162" s="65"/>
      <c r="G162" s="65"/>
      <c r="H162" s="65"/>
      <c r="I162" s="65"/>
      <c r="J162" s="65"/>
      <c r="K162" s="65"/>
      <c r="L162" s="65"/>
      <c r="M162" s="68"/>
      <c r="N162" s="65"/>
      <c r="O162" s="65"/>
      <c r="P162" s="65"/>
      <c r="Q162" s="65"/>
      <c r="R162" s="65"/>
    </row>
    <row r="163" spans="2:18" ht="15" x14ac:dyDescent="0.25">
      <c r="B163" s="69"/>
      <c r="D163" s="70"/>
      <c r="E163" s="65"/>
      <c r="F163" s="65"/>
      <c r="G163" s="65"/>
      <c r="H163" s="65"/>
      <c r="I163" s="65"/>
      <c r="J163" s="65"/>
      <c r="K163" s="65"/>
      <c r="L163" s="65"/>
      <c r="M163" s="68"/>
      <c r="N163" s="65"/>
      <c r="O163" s="65"/>
      <c r="P163" s="65"/>
      <c r="Q163" s="65"/>
      <c r="R163" s="65"/>
    </row>
    <row r="164" spans="2:18" ht="15" x14ac:dyDescent="0.25">
      <c r="B164" s="69"/>
      <c r="D164" s="70"/>
      <c r="E164" s="65"/>
      <c r="F164" s="65"/>
      <c r="G164" s="65"/>
      <c r="H164" s="65"/>
      <c r="I164" s="65"/>
      <c r="J164" s="65"/>
      <c r="K164" s="65"/>
      <c r="L164" s="65"/>
      <c r="M164" s="68"/>
      <c r="N164" s="65"/>
      <c r="O164" s="65"/>
      <c r="P164" s="65"/>
      <c r="Q164" s="65"/>
      <c r="R164" s="65"/>
    </row>
    <row r="165" spans="2:18" ht="15" x14ac:dyDescent="0.25">
      <c r="B165" s="69"/>
      <c r="D165" s="70"/>
      <c r="E165" s="65"/>
      <c r="F165" s="65"/>
      <c r="G165" s="65"/>
      <c r="H165" s="65"/>
      <c r="I165" s="65"/>
      <c r="J165" s="65"/>
      <c r="K165" s="65"/>
      <c r="L165" s="65"/>
      <c r="M165" s="68"/>
      <c r="N165" s="65"/>
      <c r="O165" s="65"/>
      <c r="P165" s="65"/>
      <c r="Q165" s="65"/>
      <c r="R165" s="65"/>
    </row>
    <row r="166" spans="2:18" ht="15" x14ac:dyDescent="0.25">
      <c r="B166" s="69"/>
      <c r="D166" s="70"/>
      <c r="E166" s="65"/>
      <c r="F166" s="65"/>
      <c r="G166" s="65"/>
      <c r="H166" s="65"/>
      <c r="I166" s="65"/>
      <c r="J166" s="65"/>
      <c r="K166" s="65"/>
      <c r="L166" s="65"/>
      <c r="M166" s="68"/>
      <c r="N166" s="65"/>
      <c r="O166" s="65"/>
      <c r="P166" s="65"/>
      <c r="Q166" s="65"/>
      <c r="R166" s="65"/>
    </row>
    <row r="167" spans="2:18" ht="15" x14ac:dyDescent="0.25">
      <c r="B167" s="69"/>
      <c r="D167" s="70"/>
      <c r="E167" s="65"/>
      <c r="F167" s="65"/>
      <c r="G167" s="65"/>
      <c r="H167" s="65"/>
      <c r="I167" s="65"/>
      <c r="J167" s="65"/>
      <c r="K167" s="65"/>
      <c r="L167" s="65"/>
      <c r="M167" s="68"/>
      <c r="N167" s="65"/>
      <c r="O167" s="65"/>
      <c r="P167" s="65"/>
      <c r="Q167" s="65"/>
      <c r="R167" s="65"/>
    </row>
    <row r="168" spans="2:18" ht="15" x14ac:dyDescent="0.25">
      <c r="B168" s="69"/>
      <c r="D168" s="70"/>
      <c r="E168" s="65"/>
      <c r="F168" s="65"/>
      <c r="G168" s="65"/>
      <c r="H168" s="65"/>
      <c r="I168" s="65"/>
      <c r="J168" s="65"/>
      <c r="K168" s="65"/>
      <c r="L168" s="65"/>
      <c r="M168" s="68"/>
      <c r="N168" s="65"/>
      <c r="O168" s="65"/>
      <c r="P168" s="65"/>
      <c r="Q168" s="65"/>
      <c r="R168" s="65"/>
    </row>
    <row r="169" spans="2:18" ht="15" x14ac:dyDescent="0.25">
      <c r="B169" s="69"/>
      <c r="D169" s="70"/>
      <c r="E169" s="65"/>
      <c r="F169" s="65"/>
      <c r="G169" s="65"/>
      <c r="H169" s="65"/>
      <c r="I169" s="65"/>
      <c r="J169" s="65"/>
      <c r="K169" s="65"/>
      <c r="L169" s="65"/>
      <c r="M169" s="68"/>
      <c r="N169" s="65"/>
      <c r="O169" s="65"/>
      <c r="P169" s="65"/>
      <c r="Q169" s="65"/>
      <c r="R169" s="65"/>
    </row>
    <row r="170" spans="2:18" ht="15" x14ac:dyDescent="0.25">
      <c r="B170" s="69"/>
      <c r="D170" s="70"/>
      <c r="E170" s="65"/>
      <c r="F170" s="65"/>
      <c r="G170" s="65"/>
      <c r="H170" s="65"/>
      <c r="I170" s="65"/>
      <c r="J170" s="65"/>
      <c r="K170" s="65"/>
      <c r="L170" s="65"/>
      <c r="M170" s="68"/>
      <c r="N170" s="65"/>
      <c r="O170" s="65"/>
      <c r="P170" s="65"/>
      <c r="Q170" s="65"/>
      <c r="R170" s="65"/>
    </row>
    <row r="171" spans="2:18" ht="15" x14ac:dyDescent="0.25">
      <c r="B171" s="69"/>
      <c r="D171" s="70"/>
      <c r="E171" s="65"/>
      <c r="F171" s="65"/>
      <c r="G171" s="65"/>
      <c r="H171" s="65"/>
      <c r="I171" s="65"/>
      <c r="J171" s="65"/>
      <c r="K171" s="65"/>
      <c r="L171" s="65"/>
      <c r="M171" s="68"/>
      <c r="N171" s="65"/>
      <c r="O171" s="65"/>
      <c r="P171" s="65"/>
      <c r="Q171" s="65"/>
      <c r="R171" s="65"/>
    </row>
    <row r="172" spans="2:18" ht="15" x14ac:dyDescent="0.25">
      <c r="B172" s="69"/>
      <c r="D172" s="70"/>
      <c r="E172" s="65"/>
      <c r="F172" s="65"/>
      <c r="G172" s="65"/>
      <c r="H172" s="65"/>
      <c r="I172" s="65"/>
      <c r="J172" s="65"/>
      <c r="K172" s="65"/>
      <c r="L172" s="65"/>
      <c r="M172" s="68"/>
      <c r="N172" s="65"/>
      <c r="O172" s="65"/>
      <c r="P172" s="65"/>
      <c r="Q172" s="65"/>
      <c r="R172" s="65"/>
    </row>
    <row r="173" spans="2:18" ht="15" x14ac:dyDescent="0.25">
      <c r="B173" s="69"/>
      <c r="D173" s="70"/>
      <c r="E173" s="65"/>
      <c r="F173" s="65"/>
      <c r="G173" s="65"/>
      <c r="H173" s="65"/>
      <c r="I173" s="65"/>
      <c r="J173" s="65"/>
      <c r="K173" s="65"/>
      <c r="L173" s="65"/>
      <c r="M173" s="68"/>
      <c r="N173" s="65"/>
      <c r="O173" s="65"/>
      <c r="P173" s="65"/>
      <c r="Q173" s="65"/>
      <c r="R173" s="65"/>
    </row>
    <row r="174" spans="2:18" ht="15" x14ac:dyDescent="0.25">
      <c r="B174" s="69"/>
      <c r="D174" s="70"/>
      <c r="E174" s="65"/>
      <c r="F174" s="65"/>
      <c r="G174" s="65"/>
      <c r="H174" s="65"/>
      <c r="I174" s="65"/>
      <c r="J174" s="65"/>
      <c r="K174" s="65"/>
      <c r="L174" s="65"/>
      <c r="M174" s="68"/>
      <c r="N174" s="65"/>
      <c r="O174" s="65"/>
      <c r="P174" s="65"/>
      <c r="Q174" s="65"/>
      <c r="R174" s="65"/>
    </row>
    <row r="175" spans="2:18" ht="15" x14ac:dyDescent="0.25">
      <c r="B175" s="69"/>
      <c r="D175" s="70"/>
      <c r="E175" s="65"/>
      <c r="F175" s="65"/>
      <c r="G175" s="65"/>
      <c r="H175" s="65"/>
      <c r="I175" s="65"/>
      <c r="J175" s="65"/>
      <c r="K175" s="65"/>
      <c r="L175" s="65"/>
      <c r="M175" s="68"/>
      <c r="N175" s="65"/>
      <c r="O175" s="65"/>
      <c r="P175" s="65"/>
      <c r="Q175" s="65"/>
      <c r="R175" s="65"/>
    </row>
    <row r="176" spans="2:18" ht="15" x14ac:dyDescent="0.25">
      <c r="B176" s="69"/>
      <c r="D176" s="70"/>
      <c r="E176" s="65"/>
      <c r="F176" s="65"/>
      <c r="G176" s="65"/>
      <c r="H176" s="65"/>
      <c r="I176" s="65"/>
      <c r="J176" s="65"/>
      <c r="K176" s="65"/>
      <c r="L176" s="65"/>
      <c r="M176" s="68"/>
      <c r="N176" s="65"/>
      <c r="O176" s="65"/>
      <c r="P176" s="65"/>
      <c r="Q176" s="65"/>
      <c r="R176" s="65"/>
    </row>
    <row r="177" spans="2:18" ht="15" x14ac:dyDescent="0.25">
      <c r="B177" s="69"/>
      <c r="D177" s="70"/>
      <c r="E177" s="65"/>
      <c r="F177" s="65"/>
      <c r="G177" s="65"/>
      <c r="H177" s="65"/>
      <c r="I177" s="65"/>
      <c r="J177" s="65"/>
      <c r="K177" s="65"/>
      <c r="L177" s="65"/>
      <c r="M177" s="68"/>
      <c r="N177" s="65"/>
      <c r="O177" s="65"/>
      <c r="P177" s="65"/>
      <c r="Q177" s="65"/>
      <c r="R177" s="65"/>
    </row>
    <row r="178" spans="2:18" ht="15" x14ac:dyDescent="0.25">
      <c r="B178" s="69"/>
      <c r="D178" s="70"/>
      <c r="E178" s="65"/>
      <c r="F178" s="65"/>
      <c r="G178" s="65"/>
      <c r="H178" s="65"/>
      <c r="I178" s="65"/>
      <c r="J178" s="65"/>
      <c r="K178" s="65"/>
      <c r="L178" s="65"/>
      <c r="M178" s="68"/>
      <c r="N178" s="65"/>
      <c r="O178" s="65"/>
      <c r="P178" s="65"/>
      <c r="Q178" s="65"/>
      <c r="R178" s="65"/>
    </row>
    <row r="179" spans="2:18" ht="15" x14ac:dyDescent="0.25">
      <c r="B179" s="69"/>
      <c r="D179" s="70"/>
      <c r="E179" s="65"/>
      <c r="F179" s="65"/>
      <c r="G179" s="65"/>
      <c r="H179" s="65"/>
      <c r="I179" s="65"/>
      <c r="J179" s="65"/>
      <c r="K179" s="65"/>
      <c r="L179" s="65"/>
      <c r="M179" s="68"/>
      <c r="N179" s="65"/>
      <c r="O179" s="65"/>
      <c r="P179" s="65"/>
      <c r="Q179" s="65"/>
      <c r="R179" s="65"/>
    </row>
    <row r="180" spans="2:18" ht="15" x14ac:dyDescent="0.25">
      <c r="B180" s="69"/>
      <c r="D180" s="70"/>
      <c r="E180" s="65"/>
      <c r="F180" s="65"/>
      <c r="G180" s="65"/>
      <c r="H180" s="65"/>
      <c r="I180" s="65"/>
      <c r="J180" s="65"/>
      <c r="K180" s="65"/>
      <c r="L180" s="65"/>
      <c r="M180" s="68"/>
      <c r="N180" s="65"/>
      <c r="O180" s="65"/>
      <c r="P180" s="65"/>
      <c r="Q180" s="65"/>
      <c r="R180" s="65"/>
    </row>
    <row r="181" spans="2:18" ht="15" x14ac:dyDescent="0.25">
      <c r="B181" s="69"/>
      <c r="D181" s="70"/>
      <c r="E181" s="65"/>
      <c r="F181" s="65"/>
      <c r="G181" s="65"/>
      <c r="H181" s="65"/>
      <c r="I181" s="65"/>
      <c r="J181" s="65"/>
      <c r="K181" s="65"/>
      <c r="L181" s="65"/>
      <c r="M181" s="68"/>
      <c r="N181" s="65"/>
      <c r="O181" s="65"/>
      <c r="P181" s="65"/>
      <c r="Q181" s="65"/>
      <c r="R181" s="65"/>
    </row>
    <row r="182" spans="2:18" ht="15" x14ac:dyDescent="0.25">
      <c r="B182" s="69"/>
      <c r="D182" s="70"/>
      <c r="E182" s="65"/>
      <c r="F182" s="65"/>
      <c r="G182" s="65"/>
      <c r="H182" s="65"/>
      <c r="I182" s="65"/>
      <c r="J182" s="65"/>
      <c r="K182" s="65"/>
      <c r="L182" s="65"/>
      <c r="M182" s="68"/>
      <c r="N182" s="65"/>
      <c r="O182" s="65"/>
      <c r="P182" s="65"/>
      <c r="Q182" s="65"/>
      <c r="R182" s="65"/>
    </row>
    <row r="183" spans="2:18" ht="15" x14ac:dyDescent="0.25">
      <c r="B183" s="69"/>
      <c r="D183" s="70"/>
      <c r="E183" s="65"/>
      <c r="F183" s="65"/>
      <c r="G183" s="65"/>
      <c r="H183" s="65"/>
      <c r="I183" s="65"/>
      <c r="J183" s="65"/>
      <c r="K183" s="65"/>
      <c r="L183" s="65"/>
      <c r="M183" s="68"/>
      <c r="N183" s="65"/>
      <c r="O183" s="65"/>
      <c r="P183" s="65"/>
      <c r="Q183" s="65"/>
      <c r="R183" s="65"/>
    </row>
    <row r="184" spans="2:18" ht="15" x14ac:dyDescent="0.25">
      <c r="B184" s="69"/>
      <c r="D184" s="70"/>
      <c r="E184" s="65"/>
      <c r="F184" s="65"/>
      <c r="G184" s="65"/>
      <c r="H184" s="65"/>
      <c r="I184" s="65"/>
      <c r="J184" s="65"/>
      <c r="K184" s="65"/>
      <c r="L184" s="65"/>
      <c r="M184" s="68"/>
      <c r="N184" s="65"/>
      <c r="O184" s="65"/>
      <c r="P184" s="65"/>
      <c r="Q184" s="65"/>
      <c r="R184" s="65"/>
    </row>
    <row r="185" spans="2:18" ht="15" x14ac:dyDescent="0.25">
      <c r="B185" s="69"/>
      <c r="D185" s="70"/>
      <c r="E185" s="65"/>
      <c r="F185" s="65"/>
      <c r="G185" s="65"/>
      <c r="H185" s="65"/>
      <c r="I185" s="65"/>
      <c r="J185" s="65"/>
      <c r="K185" s="65"/>
      <c r="L185" s="65"/>
      <c r="M185" s="68"/>
      <c r="N185" s="65"/>
      <c r="O185" s="65"/>
      <c r="P185" s="65"/>
      <c r="Q185" s="65"/>
      <c r="R185" s="65"/>
    </row>
    <row r="186" spans="2:18" ht="15" x14ac:dyDescent="0.25">
      <c r="B186" s="69"/>
      <c r="D186" s="70"/>
      <c r="E186" s="65"/>
      <c r="F186" s="65"/>
      <c r="G186" s="65"/>
      <c r="H186" s="65"/>
      <c r="I186" s="65"/>
      <c r="J186" s="65"/>
      <c r="K186" s="65"/>
      <c r="L186" s="65"/>
      <c r="M186" s="68"/>
      <c r="N186" s="65"/>
      <c r="O186" s="65"/>
      <c r="P186" s="65"/>
      <c r="Q186" s="65"/>
      <c r="R186" s="65"/>
    </row>
    <row r="187" spans="2:18" ht="15" x14ac:dyDescent="0.25">
      <c r="B187" s="69"/>
      <c r="D187" s="70"/>
      <c r="E187" s="65"/>
      <c r="F187" s="65"/>
      <c r="G187" s="65"/>
      <c r="H187" s="65"/>
      <c r="I187" s="65"/>
      <c r="J187" s="65"/>
      <c r="K187" s="65"/>
      <c r="L187" s="65"/>
      <c r="M187" s="68"/>
      <c r="N187" s="65"/>
      <c r="O187" s="65"/>
      <c r="P187" s="65"/>
      <c r="Q187" s="65"/>
      <c r="R187" s="65"/>
    </row>
    <row r="188" spans="2:18" ht="15" x14ac:dyDescent="0.25">
      <c r="B188" s="69"/>
      <c r="D188" s="70"/>
      <c r="E188" s="65"/>
      <c r="F188" s="65"/>
      <c r="G188" s="65"/>
      <c r="H188" s="65"/>
      <c r="I188" s="65"/>
      <c r="J188" s="65"/>
      <c r="K188" s="65"/>
      <c r="L188" s="65"/>
      <c r="M188" s="68"/>
      <c r="N188" s="65"/>
      <c r="O188" s="65"/>
      <c r="P188" s="65"/>
      <c r="Q188" s="65"/>
      <c r="R188" s="65"/>
    </row>
    <row r="189" spans="2:18" ht="15" x14ac:dyDescent="0.25">
      <c r="B189" s="69"/>
      <c r="D189" s="70"/>
      <c r="E189" s="65"/>
      <c r="F189" s="65"/>
      <c r="G189" s="65"/>
      <c r="H189" s="65"/>
      <c r="I189" s="65"/>
      <c r="J189" s="65"/>
      <c r="K189" s="65"/>
      <c r="L189" s="65"/>
      <c r="M189" s="68"/>
      <c r="N189" s="65"/>
      <c r="O189" s="65"/>
      <c r="P189" s="65"/>
      <c r="Q189" s="65"/>
      <c r="R189" s="65"/>
    </row>
    <row r="190" spans="2:18" ht="15" x14ac:dyDescent="0.25">
      <c r="B190" s="69"/>
      <c r="D190" s="70"/>
      <c r="E190" s="65"/>
      <c r="F190" s="65"/>
      <c r="G190" s="65"/>
      <c r="H190" s="65"/>
      <c r="I190" s="65"/>
      <c r="J190" s="65"/>
      <c r="K190" s="65"/>
      <c r="L190" s="65"/>
      <c r="M190" s="68"/>
      <c r="N190" s="65"/>
      <c r="O190" s="65"/>
      <c r="P190" s="65"/>
      <c r="Q190" s="65"/>
      <c r="R190" s="65"/>
    </row>
    <row r="191" spans="2:18" ht="15" x14ac:dyDescent="0.25">
      <c r="B191" s="69"/>
      <c r="D191" s="70"/>
      <c r="E191" s="65"/>
      <c r="F191" s="65"/>
      <c r="G191" s="65"/>
      <c r="H191" s="65"/>
      <c r="I191" s="65"/>
      <c r="J191" s="65"/>
      <c r="K191" s="65"/>
      <c r="L191" s="65"/>
      <c r="M191" s="68"/>
      <c r="N191" s="65"/>
      <c r="O191" s="65"/>
      <c r="P191" s="65"/>
      <c r="Q191" s="65"/>
      <c r="R191" s="65"/>
    </row>
    <row r="192" spans="2:18" ht="15" x14ac:dyDescent="0.25">
      <c r="B192" s="69"/>
      <c r="D192" s="70"/>
      <c r="E192" s="65"/>
      <c r="F192" s="65"/>
      <c r="G192" s="65"/>
      <c r="H192" s="65"/>
      <c r="I192" s="65"/>
      <c r="J192" s="65"/>
      <c r="K192" s="65"/>
      <c r="L192" s="65"/>
      <c r="M192" s="68"/>
      <c r="N192" s="65"/>
      <c r="O192" s="65"/>
      <c r="P192" s="65"/>
      <c r="Q192" s="65"/>
      <c r="R192" s="65"/>
    </row>
    <row r="193" spans="2:18" ht="15" x14ac:dyDescent="0.25">
      <c r="B193" s="69"/>
      <c r="D193" s="70"/>
      <c r="E193" s="65"/>
      <c r="F193" s="65"/>
      <c r="G193" s="65"/>
      <c r="H193" s="65"/>
      <c r="I193" s="65"/>
      <c r="J193" s="65"/>
      <c r="K193" s="65"/>
      <c r="L193" s="65"/>
      <c r="M193" s="68"/>
      <c r="N193" s="65"/>
      <c r="O193" s="65"/>
      <c r="P193" s="65"/>
      <c r="Q193" s="65"/>
      <c r="R193" s="65"/>
    </row>
    <row r="194" spans="2:18" ht="15" x14ac:dyDescent="0.25">
      <c r="B194" s="69"/>
      <c r="D194" s="70"/>
      <c r="E194" s="65"/>
      <c r="F194" s="65"/>
      <c r="G194" s="65"/>
      <c r="H194" s="65"/>
      <c r="I194" s="65"/>
      <c r="J194" s="65"/>
      <c r="K194" s="65"/>
      <c r="L194" s="65"/>
      <c r="M194" s="68"/>
      <c r="N194" s="65"/>
      <c r="O194" s="65"/>
      <c r="P194" s="65"/>
      <c r="Q194" s="65"/>
      <c r="R194" s="65"/>
    </row>
    <row r="195" spans="2:18" ht="15" x14ac:dyDescent="0.25">
      <c r="B195" s="69"/>
      <c r="D195" s="70"/>
      <c r="E195" s="65"/>
      <c r="F195" s="65"/>
      <c r="G195" s="65"/>
      <c r="H195" s="65"/>
      <c r="I195" s="65"/>
      <c r="J195" s="65"/>
      <c r="K195" s="65"/>
      <c r="L195" s="65"/>
      <c r="M195" s="68"/>
      <c r="N195" s="65"/>
      <c r="O195" s="65"/>
      <c r="P195" s="65"/>
      <c r="Q195" s="65"/>
      <c r="R195" s="65"/>
    </row>
    <row r="196" spans="2:18" ht="15" x14ac:dyDescent="0.25">
      <c r="B196" s="69"/>
      <c r="D196" s="70"/>
      <c r="E196" s="65"/>
      <c r="F196" s="65"/>
      <c r="G196" s="65"/>
      <c r="H196" s="65"/>
      <c r="I196" s="65"/>
      <c r="J196" s="65"/>
      <c r="K196" s="65"/>
      <c r="L196" s="65"/>
      <c r="M196" s="68"/>
      <c r="N196" s="65"/>
      <c r="O196" s="65"/>
      <c r="P196" s="65"/>
      <c r="Q196" s="65"/>
      <c r="R196" s="65"/>
    </row>
    <row r="197" spans="2:18" ht="15" x14ac:dyDescent="0.25">
      <c r="B197" s="69"/>
      <c r="D197" s="70"/>
      <c r="E197" s="65"/>
      <c r="F197" s="65"/>
      <c r="G197" s="65"/>
      <c r="H197" s="65"/>
      <c r="I197" s="65"/>
      <c r="J197" s="65"/>
      <c r="K197" s="65"/>
      <c r="L197" s="65"/>
      <c r="M197" s="68"/>
      <c r="N197" s="65"/>
      <c r="O197" s="65"/>
      <c r="P197" s="65"/>
      <c r="Q197" s="65"/>
      <c r="R197" s="65"/>
    </row>
    <row r="198" spans="2:18" ht="15" x14ac:dyDescent="0.25">
      <c r="B198" s="69"/>
      <c r="D198" s="70"/>
      <c r="E198" s="65"/>
      <c r="F198" s="65"/>
      <c r="G198" s="65"/>
      <c r="H198" s="65"/>
      <c r="I198" s="65"/>
      <c r="J198" s="65"/>
      <c r="K198" s="65"/>
      <c r="L198" s="65"/>
      <c r="M198" s="68"/>
      <c r="N198" s="65"/>
      <c r="O198" s="65"/>
      <c r="P198" s="65"/>
      <c r="Q198" s="65"/>
      <c r="R198" s="65"/>
    </row>
    <row r="199" spans="2:18" ht="15" x14ac:dyDescent="0.25">
      <c r="B199" s="69"/>
      <c r="D199" s="70"/>
      <c r="E199" s="65"/>
      <c r="F199" s="65"/>
      <c r="G199" s="65"/>
      <c r="H199" s="65"/>
      <c r="I199" s="65"/>
      <c r="J199" s="65"/>
      <c r="K199" s="65"/>
      <c r="L199" s="65"/>
      <c r="M199" s="68"/>
      <c r="N199" s="65"/>
      <c r="O199" s="65"/>
      <c r="P199" s="65"/>
      <c r="Q199" s="65"/>
      <c r="R199" s="65"/>
    </row>
    <row r="200" spans="2:18" ht="15" x14ac:dyDescent="0.25">
      <c r="B200" s="69"/>
      <c r="D200" s="70"/>
      <c r="E200" s="65"/>
      <c r="F200" s="65"/>
      <c r="G200" s="65"/>
      <c r="H200" s="65"/>
      <c r="I200" s="65"/>
      <c r="J200" s="65"/>
      <c r="K200" s="65"/>
      <c r="L200" s="65"/>
      <c r="M200" s="68"/>
      <c r="N200" s="65"/>
      <c r="O200" s="65"/>
      <c r="P200" s="65"/>
      <c r="Q200" s="65"/>
      <c r="R200" s="65"/>
    </row>
    <row r="201" spans="2:18" ht="15" x14ac:dyDescent="0.25">
      <c r="B201" s="69"/>
      <c r="D201" s="70"/>
      <c r="E201" s="65"/>
      <c r="F201" s="65"/>
      <c r="G201" s="65"/>
      <c r="H201" s="65"/>
      <c r="I201" s="65"/>
      <c r="J201" s="65"/>
      <c r="K201" s="65"/>
      <c r="L201" s="65"/>
      <c r="M201" s="68"/>
      <c r="N201" s="65"/>
      <c r="O201" s="65"/>
      <c r="P201" s="65"/>
      <c r="Q201" s="65"/>
      <c r="R201" s="65"/>
    </row>
    <row r="202" spans="2:18" ht="15" x14ac:dyDescent="0.25">
      <c r="B202" s="69"/>
      <c r="D202" s="70"/>
      <c r="E202" s="65"/>
      <c r="F202" s="65"/>
      <c r="G202" s="65"/>
      <c r="H202" s="65"/>
      <c r="I202" s="65"/>
      <c r="J202" s="65"/>
      <c r="K202" s="65"/>
      <c r="L202" s="65"/>
      <c r="M202" s="68"/>
      <c r="N202" s="65"/>
      <c r="O202" s="65"/>
      <c r="P202" s="65"/>
      <c r="Q202" s="65"/>
      <c r="R202" s="65"/>
    </row>
    <row r="203" spans="2:18" ht="15" x14ac:dyDescent="0.25">
      <c r="B203" s="69"/>
      <c r="D203" s="70"/>
      <c r="E203" s="65"/>
      <c r="F203" s="65"/>
      <c r="G203" s="65"/>
      <c r="H203" s="65"/>
      <c r="I203" s="65"/>
      <c r="J203" s="65"/>
      <c r="K203" s="65"/>
      <c r="L203" s="65"/>
      <c r="M203" s="68"/>
      <c r="N203" s="65"/>
      <c r="O203" s="65"/>
      <c r="P203" s="65"/>
      <c r="Q203" s="65"/>
      <c r="R203" s="65"/>
    </row>
    <row r="204" spans="2:18" ht="15" x14ac:dyDescent="0.25">
      <c r="B204" s="69"/>
      <c r="D204" s="70"/>
      <c r="E204" s="65"/>
      <c r="F204" s="65"/>
      <c r="G204" s="65"/>
      <c r="H204" s="65"/>
      <c r="I204" s="65"/>
      <c r="J204" s="65"/>
      <c r="K204" s="65"/>
      <c r="L204" s="65"/>
      <c r="M204" s="68"/>
      <c r="N204" s="65"/>
      <c r="O204" s="65"/>
      <c r="P204" s="65"/>
      <c r="Q204" s="65"/>
      <c r="R204" s="65"/>
    </row>
    <row r="205" spans="2:18" ht="15" x14ac:dyDescent="0.25">
      <c r="B205" s="69"/>
      <c r="D205" s="70"/>
      <c r="E205" s="65"/>
      <c r="F205" s="65"/>
      <c r="G205" s="65"/>
      <c r="H205" s="65"/>
      <c r="I205" s="65"/>
      <c r="J205" s="65"/>
      <c r="K205" s="65"/>
      <c r="L205" s="65"/>
      <c r="M205" s="68"/>
      <c r="N205" s="65"/>
      <c r="O205" s="65"/>
      <c r="P205" s="65"/>
      <c r="Q205" s="65"/>
      <c r="R205" s="65"/>
    </row>
    <row r="206" spans="2:18" ht="15" x14ac:dyDescent="0.25">
      <c r="B206" s="69"/>
      <c r="D206" s="70"/>
      <c r="E206" s="65"/>
      <c r="F206" s="65"/>
      <c r="G206" s="65"/>
      <c r="H206" s="65"/>
      <c r="I206" s="65"/>
      <c r="J206" s="65"/>
      <c r="K206" s="65"/>
      <c r="L206" s="65"/>
      <c r="M206" s="68"/>
      <c r="N206" s="65"/>
      <c r="O206" s="65"/>
      <c r="P206" s="65"/>
      <c r="Q206" s="65"/>
      <c r="R206" s="65"/>
    </row>
    <row r="207" spans="2:18" ht="15" x14ac:dyDescent="0.25">
      <c r="B207" s="69"/>
      <c r="D207" s="70"/>
      <c r="E207" s="65"/>
      <c r="F207" s="65"/>
      <c r="G207" s="65"/>
      <c r="H207" s="65"/>
      <c r="I207" s="65"/>
      <c r="J207" s="65"/>
      <c r="K207" s="65"/>
      <c r="L207" s="65"/>
      <c r="M207" s="68"/>
      <c r="N207" s="65"/>
      <c r="O207" s="65"/>
      <c r="P207" s="65"/>
      <c r="Q207" s="65"/>
      <c r="R207" s="65"/>
    </row>
    <row r="208" spans="2:18" ht="15" x14ac:dyDescent="0.25">
      <c r="B208" s="69"/>
      <c r="D208" s="70"/>
      <c r="E208" s="65"/>
      <c r="F208" s="65"/>
      <c r="G208" s="65"/>
      <c r="H208" s="65"/>
      <c r="I208" s="65"/>
      <c r="J208" s="65"/>
      <c r="K208" s="65"/>
      <c r="L208" s="65"/>
      <c r="M208" s="68"/>
      <c r="N208" s="65"/>
      <c r="O208" s="65"/>
      <c r="P208" s="65"/>
      <c r="Q208" s="65"/>
      <c r="R208" s="65"/>
    </row>
    <row r="209" spans="2:18" ht="15" x14ac:dyDescent="0.25">
      <c r="B209" s="69"/>
      <c r="D209" s="70"/>
      <c r="E209" s="65"/>
      <c r="F209" s="65"/>
      <c r="G209" s="65"/>
      <c r="H209" s="65"/>
      <c r="I209" s="65"/>
      <c r="J209" s="65"/>
      <c r="K209" s="65"/>
      <c r="L209" s="65"/>
      <c r="M209" s="68"/>
      <c r="N209" s="65"/>
      <c r="O209" s="65"/>
      <c r="P209" s="65"/>
      <c r="Q209" s="65"/>
      <c r="R209" s="65"/>
    </row>
    <row r="210" spans="2:18" ht="15" x14ac:dyDescent="0.25">
      <c r="B210" s="69"/>
      <c r="D210" s="70"/>
      <c r="E210" s="65"/>
      <c r="F210" s="65"/>
      <c r="G210" s="65"/>
      <c r="H210" s="65"/>
      <c r="I210" s="65"/>
      <c r="J210" s="65"/>
      <c r="K210" s="65"/>
      <c r="L210" s="65"/>
      <c r="M210" s="68"/>
      <c r="N210" s="65"/>
      <c r="O210" s="65"/>
      <c r="P210" s="65"/>
      <c r="Q210" s="65"/>
      <c r="R210" s="65"/>
    </row>
    <row r="211" spans="2:18" ht="15" x14ac:dyDescent="0.25">
      <c r="B211" s="69"/>
      <c r="D211" s="70"/>
      <c r="E211" s="65"/>
      <c r="F211" s="65"/>
      <c r="G211" s="65"/>
      <c r="H211" s="65"/>
      <c r="I211" s="65"/>
      <c r="J211" s="65"/>
      <c r="K211" s="65"/>
      <c r="L211" s="65"/>
      <c r="M211" s="68"/>
      <c r="N211" s="65"/>
      <c r="O211" s="65"/>
      <c r="P211" s="65"/>
      <c r="Q211" s="65"/>
      <c r="R211" s="65"/>
    </row>
    <row r="212" spans="2:18" ht="15" x14ac:dyDescent="0.25">
      <c r="B212" s="69"/>
      <c r="D212" s="70"/>
      <c r="E212" s="65"/>
      <c r="F212" s="65"/>
      <c r="G212" s="65"/>
      <c r="H212" s="65"/>
      <c r="I212" s="65"/>
      <c r="J212" s="65"/>
      <c r="K212" s="65"/>
      <c r="L212" s="65"/>
      <c r="M212" s="68"/>
      <c r="N212" s="65"/>
      <c r="O212" s="65"/>
      <c r="P212" s="65"/>
      <c r="Q212" s="65"/>
      <c r="R212" s="65"/>
    </row>
    <row r="213" spans="2:18" ht="15" x14ac:dyDescent="0.25">
      <c r="B213" s="69"/>
      <c r="D213" s="70"/>
      <c r="E213" s="65"/>
      <c r="F213" s="65"/>
      <c r="G213" s="65"/>
      <c r="H213" s="65"/>
      <c r="I213" s="65"/>
      <c r="J213" s="65"/>
      <c r="K213" s="65"/>
      <c r="L213" s="65"/>
      <c r="M213" s="68"/>
      <c r="N213" s="65"/>
      <c r="O213" s="65"/>
      <c r="P213" s="65"/>
      <c r="Q213" s="65"/>
      <c r="R213" s="65"/>
    </row>
    <row r="214" spans="2:18" ht="15" x14ac:dyDescent="0.25">
      <c r="B214" s="69"/>
      <c r="D214" s="70"/>
      <c r="E214" s="65"/>
      <c r="F214" s="65"/>
      <c r="G214" s="65"/>
      <c r="H214" s="65"/>
      <c r="I214" s="65"/>
      <c r="J214" s="65"/>
      <c r="K214" s="65"/>
      <c r="L214" s="65"/>
      <c r="M214" s="68"/>
      <c r="N214" s="65"/>
      <c r="O214" s="65"/>
      <c r="P214" s="65"/>
      <c r="Q214" s="65"/>
      <c r="R214" s="65"/>
    </row>
    <row r="215" spans="2:18" ht="15" x14ac:dyDescent="0.25">
      <c r="B215" s="69"/>
      <c r="D215" s="70"/>
      <c r="E215" s="65"/>
      <c r="F215" s="65"/>
      <c r="G215" s="65"/>
      <c r="H215" s="65"/>
      <c r="I215" s="65"/>
      <c r="J215" s="65"/>
      <c r="K215" s="65"/>
      <c r="L215" s="65"/>
      <c r="M215" s="68"/>
      <c r="N215" s="65"/>
      <c r="O215" s="65"/>
      <c r="P215" s="65"/>
      <c r="Q215" s="65"/>
      <c r="R215" s="65"/>
    </row>
    <row r="216" spans="2:18" ht="15" x14ac:dyDescent="0.25">
      <c r="B216" s="69"/>
      <c r="D216" s="70"/>
      <c r="E216" s="65"/>
      <c r="F216" s="65"/>
      <c r="G216" s="65"/>
      <c r="H216" s="65"/>
      <c r="I216" s="65"/>
      <c r="J216" s="65"/>
      <c r="K216" s="65"/>
      <c r="L216" s="65"/>
      <c r="M216" s="68"/>
      <c r="N216" s="65"/>
      <c r="O216" s="65"/>
      <c r="P216" s="65"/>
      <c r="Q216" s="65"/>
      <c r="R216" s="65"/>
    </row>
    <row r="217" spans="2:18" ht="15" x14ac:dyDescent="0.25">
      <c r="B217" s="69"/>
      <c r="D217" s="70"/>
      <c r="E217" s="65"/>
      <c r="F217" s="65"/>
      <c r="G217" s="65"/>
      <c r="H217" s="65"/>
      <c r="I217" s="65"/>
      <c r="J217" s="65"/>
      <c r="K217" s="65"/>
      <c r="L217" s="65"/>
      <c r="M217" s="68"/>
      <c r="N217" s="65"/>
      <c r="O217" s="65"/>
      <c r="P217" s="65"/>
      <c r="Q217" s="65"/>
      <c r="R217" s="65"/>
    </row>
    <row r="218" spans="2:18" ht="15" x14ac:dyDescent="0.25">
      <c r="B218" s="69"/>
      <c r="D218" s="70"/>
      <c r="E218" s="65"/>
      <c r="F218" s="65"/>
      <c r="G218" s="65"/>
      <c r="H218" s="65"/>
      <c r="I218" s="65"/>
      <c r="J218" s="65"/>
      <c r="K218" s="65"/>
      <c r="L218" s="65"/>
      <c r="M218" s="68"/>
      <c r="N218" s="65"/>
      <c r="O218" s="65"/>
      <c r="P218" s="65"/>
      <c r="Q218" s="65"/>
      <c r="R218" s="65"/>
    </row>
    <row r="219" spans="2:18" ht="15" x14ac:dyDescent="0.25">
      <c r="B219" s="69"/>
      <c r="D219" s="70"/>
      <c r="E219" s="65"/>
      <c r="F219" s="65"/>
      <c r="G219" s="65"/>
      <c r="H219" s="65"/>
      <c r="I219" s="65"/>
      <c r="J219" s="65"/>
      <c r="K219" s="65"/>
      <c r="L219" s="65"/>
      <c r="M219" s="68"/>
      <c r="N219" s="65"/>
      <c r="O219" s="65"/>
      <c r="P219" s="65"/>
      <c r="Q219" s="65"/>
      <c r="R219" s="65"/>
    </row>
    <row r="220" spans="2:18" ht="15" x14ac:dyDescent="0.25">
      <c r="B220" s="69"/>
      <c r="D220" s="70"/>
      <c r="E220" s="65"/>
      <c r="F220" s="65"/>
      <c r="G220" s="65"/>
      <c r="H220" s="65"/>
      <c r="I220" s="65"/>
      <c r="J220" s="65"/>
      <c r="K220" s="65"/>
      <c r="L220" s="65"/>
      <c r="M220" s="68"/>
      <c r="N220" s="65"/>
      <c r="O220" s="65"/>
      <c r="P220" s="65"/>
      <c r="Q220" s="65"/>
      <c r="R220" s="65"/>
    </row>
    <row r="221" spans="2:18" ht="15" x14ac:dyDescent="0.25">
      <c r="B221" s="69"/>
      <c r="D221" s="70"/>
      <c r="E221" s="65"/>
      <c r="F221" s="65"/>
      <c r="G221" s="65"/>
      <c r="H221" s="65"/>
      <c r="I221" s="65"/>
      <c r="J221" s="65"/>
      <c r="K221" s="65"/>
      <c r="L221" s="65"/>
      <c r="M221" s="68"/>
      <c r="N221" s="65"/>
      <c r="O221" s="65"/>
      <c r="P221" s="65"/>
      <c r="Q221" s="65"/>
      <c r="R221" s="65"/>
    </row>
    <row r="222" spans="2:18" ht="15" x14ac:dyDescent="0.25">
      <c r="B222" s="69"/>
      <c r="D222" s="70"/>
      <c r="E222" s="65"/>
      <c r="F222" s="65"/>
      <c r="G222" s="65"/>
      <c r="H222" s="65"/>
      <c r="I222" s="65"/>
      <c r="J222" s="65"/>
      <c r="K222" s="65"/>
      <c r="L222" s="65"/>
      <c r="M222" s="68"/>
      <c r="N222" s="65"/>
      <c r="O222" s="65"/>
      <c r="P222" s="65"/>
      <c r="Q222" s="65"/>
      <c r="R222" s="65"/>
    </row>
    <row r="223" spans="2:18" ht="15" x14ac:dyDescent="0.25">
      <c r="B223" s="69"/>
      <c r="D223" s="70"/>
      <c r="E223" s="65"/>
      <c r="F223" s="65"/>
      <c r="G223" s="65"/>
      <c r="H223" s="65"/>
      <c r="I223" s="65"/>
      <c r="J223" s="65"/>
      <c r="K223" s="65"/>
      <c r="L223" s="65"/>
      <c r="M223" s="68"/>
      <c r="N223" s="65"/>
      <c r="O223" s="65"/>
      <c r="P223" s="65"/>
      <c r="Q223" s="65"/>
      <c r="R223" s="65"/>
    </row>
    <row r="224" spans="2:18" ht="15" x14ac:dyDescent="0.25">
      <c r="B224" s="69"/>
      <c r="D224" s="70"/>
      <c r="E224" s="65"/>
      <c r="F224" s="65"/>
      <c r="G224" s="65"/>
      <c r="H224" s="65"/>
      <c r="I224" s="65"/>
      <c r="J224" s="65"/>
      <c r="K224" s="65"/>
      <c r="L224" s="65"/>
      <c r="M224" s="68"/>
      <c r="N224" s="65"/>
      <c r="O224" s="65"/>
      <c r="P224" s="65"/>
      <c r="Q224" s="65"/>
      <c r="R224" s="65"/>
    </row>
    <row r="225" spans="2:18" ht="15" x14ac:dyDescent="0.25">
      <c r="B225" s="69"/>
      <c r="D225" s="70"/>
      <c r="E225" s="65"/>
      <c r="F225" s="65"/>
      <c r="G225" s="65"/>
      <c r="H225" s="65"/>
      <c r="I225" s="65"/>
      <c r="J225" s="65"/>
      <c r="K225" s="65"/>
      <c r="L225" s="65"/>
      <c r="M225" s="68"/>
      <c r="N225" s="65"/>
      <c r="O225" s="65"/>
      <c r="P225" s="65"/>
      <c r="Q225" s="65"/>
      <c r="R225" s="65"/>
    </row>
    <row r="226" spans="2:18" ht="15" x14ac:dyDescent="0.25">
      <c r="B226" s="69"/>
      <c r="D226" s="70"/>
      <c r="E226" s="65"/>
      <c r="F226" s="65"/>
      <c r="G226" s="65"/>
      <c r="H226" s="65"/>
      <c r="I226" s="65"/>
      <c r="J226" s="65"/>
      <c r="K226" s="65"/>
      <c r="L226" s="65"/>
      <c r="M226" s="68"/>
      <c r="N226" s="65"/>
      <c r="O226" s="65"/>
      <c r="P226" s="65"/>
      <c r="Q226" s="65"/>
      <c r="R226" s="65"/>
    </row>
    <row r="227" spans="2:18" ht="15" x14ac:dyDescent="0.25">
      <c r="B227" s="69"/>
      <c r="D227" s="70"/>
      <c r="E227" s="65"/>
      <c r="F227" s="65"/>
      <c r="G227" s="65"/>
      <c r="H227" s="65"/>
      <c r="I227" s="65"/>
      <c r="J227" s="65"/>
      <c r="K227" s="65"/>
      <c r="L227" s="65"/>
      <c r="M227" s="68"/>
      <c r="N227" s="65"/>
      <c r="O227" s="65"/>
      <c r="P227" s="65"/>
      <c r="Q227" s="65"/>
      <c r="R227" s="65"/>
    </row>
    <row r="228" spans="2:18" ht="15" x14ac:dyDescent="0.25">
      <c r="B228" s="69"/>
      <c r="D228" s="70"/>
      <c r="E228" s="65"/>
      <c r="F228" s="65"/>
      <c r="G228" s="65"/>
      <c r="H228" s="65"/>
      <c r="I228" s="65"/>
      <c r="J228" s="65"/>
      <c r="K228" s="65"/>
      <c r="L228" s="65"/>
      <c r="M228" s="68"/>
      <c r="N228" s="65"/>
      <c r="O228" s="65"/>
      <c r="P228" s="65"/>
      <c r="Q228" s="65"/>
      <c r="R228" s="65"/>
    </row>
    <row r="229" spans="2:18" ht="15" x14ac:dyDescent="0.25">
      <c r="B229" s="69"/>
      <c r="D229" s="70"/>
      <c r="E229" s="65"/>
      <c r="F229" s="65"/>
      <c r="G229" s="65"/>
      <c r="H229" s="65"/>
      <c r="I229" s="65"/>
      <c r="J229" s="65"/>
      <c r="K229" s="65"/>
      <c r="L229" s="65"/>
      <c r="M229" s="68"/>
      <c r="N229" s="65"/>
      <c r="O229" s="65"/>
      <c r="P229" s="65"/>
      <c r="Q229" s="65"/>
      <c r="R229" s="65"/>
    </row>
    <row r="230" spans="2:18" ht="15" x14ac:dyDescent="0.25">
      <c r="B230" s="69"/>
      <c r="D230" s="70"/>
      <c r="E230" s="65"/>
      <c r="F230" s="65"/>
      <c r="G230" s="65"/>
      <c r="H230" s="65"/>
      <c r="I230" s="65"/>
      <c r="J230" s="65"/>
      <c r="K230" s="65"/>
      <c r="L230" s="65"/>
      <c r="M230" s="68"/>
      <c r="N230" s="65"/>
      <c r="O230" s="65"/>
      <c r="P230" s="65"/>
      <c r="Q230" s="65"/>
      <c r="R230" s="65"/>
    </row>
    <row r="231" spans="2:18" ht="15" x14ac:dyDescent="0.25">
      <c r="B231" s="69"/>
      <c r="D231" s="70"/>
      <c r="E231" s="65"/>
      <c r="F231" s="65"/>
      <c r="G231" s="65"/>
      <c r="H231" s="65"/>
      <c r="I231" s="65"/>
      <c r="J231" s="65"/>
      <c r="K231" s="65"/>
      <c r="L231" s="65"/>
      <c r="M231" s="68"/>
      <c r="N231" s="65"/>
      <c r="O231" s="65"/>
      <c r="P231" s="65"/>
      <c r="Q231" s="65"/>
      <c r="R231" s="65"/>
    </row>
    <row r="232" spans="2:18" ht="15" x14ac:dyDescent="0.25">
      <c r="B232" s="69"/>
      <c r="D232" s="70"/>
      <c r="E232" s="65"/>
      <c r="F232" s="65"/>
      <c r="G232" s="65"/>
      <c r="H232" s="65"/>
      <c r="I232" s="65"/>
      <c r="J232" s="65"/>
      <c r="K232" s="65"/>
      <c r="L232" s="65"/>
      <c r="M232" s="68"/>
      <c r="N232" s="65"/>
      <c r="O232" s="65"/>
      <c r="P232" s="65"/>
      <c r="Q232" s="65"/>
      <c r="R232" s="65"/>
    </row>
    <row r="233" spans="2:18" ht="15" x14ac:dyDescent="0.25">
      <c r="B233" s="69"/>
      <c r="D233" s="70"/>
      <c r="E233" s="65"/>
      <c r="F233" s="65"/>
      <c r="G233" s="65"/>
      <c r="H233" s="65"/>
      <c r="I233" s="65"/>
      <c r="J233" s="65"/>
      <c r="K233" s="65"/>
      <c r="L233" s="65"/>
      <c r="M233" s="68"/>
      <c r="N233" s="65"/>
      <c r="O233" s="65"/>
      <c r="P233" s="65"/>
      <c r="Q233" s="65"/>
      <c r="R233" s="65"/>
    </row>
    <row r="234" spans="2:18" ht="15" x14ac:dyDescent="0.25">
      <c r="B234" s="69"/>
      <c r="D234" s="70"/>
      <c r="E234" s="65"/>
      <c r="F234" s="65"/>
      <c r="G234" s="65"/>
      <c r="H234" s="65"/>
      <c r="I234" s="65"/>
      <c r="J234" s="65"/>
      <c r="K234" s="65"/>
      <c r="L234" s="65"/>
      <c r="M234" s="68"/>
      <c r="N234" s="65"/>
      <c r="O234" s="65"/>
      <c r="P234" s="65"/>
      <c r="Q234" s="65"/>
      <c r="R234" s="65"/>
    </row>
    <row r="235" spans="2:18" ht="15" x14ac:dyDescent="0.25">
      <c r="B235" s="69"/>
      <c r="D235" s="70"/>
      <c r="E235" s="65"/>
      <c r="F235" s="65"/>
      <c r="G235" s="65"/>
      <c r="H235" s="65"/>
      <c r="I235" s="65"/>
      <c r="J235" s="65"/>
      <c r="K235" s="65"/>
      <c r="L235" s="65"/>
      <c r="M235" s="68"/>
      <c r="N235" s="65"/>
      <c r="O235" s="65"/>
      <c r="P235" s="65"/>
      <c r="Q235" s="65"/>
      <c r="R235" s="65"/>
    </row>
    <row r="236" spans="2:18" ht="15" x14ac:dyDescent="0.25">
      <c r="B236" s="69"/>
      <c r="D236" s="70"/>
      <c r="E236" s="65"/>
      <c r="F236" s="65"/>
      <c r="G236" s="65"/>
      <c r="H236" s="65"/>
      <c r="I236" s="65"/>
      <c r="J236" s="65"/>
      <c r="K236" s="65"/>
      <c r="L236" s="65"/>
      <c r="M236" s="68"/>
      <c r="N236" s="65"/>
      <c r="O236" s="65"/>
      <c r="P236" s="65"/>
      <c r="Q236" s="65"/>
      <c r="R236" s="65"/>
    </row>
    <row r="237" spans="2:18" ht="15" x14ac:dyDescent="0.25">
      <c r="B237" s="69"/>
      <c r="D237" s="70"/>
      <c r="E237" s="65"/>
      <c r="F237" s="65"/>
      <c r="G237" s="65"/>
      <c r="H237" s="65"/>
      <c r="I237" s="65"/>
      <c r="J237" s="65"/>
      <c r="K237" s="65"/>
      <c r="L237" s="65"/>
      <c r="M237" s="68"/>
      <c r="N237" s="65"/>
      <c r="O237" s="65"/>
      <c r="P237" s="65"/>
      <c r="Q237" s="65"/>
      <c r="R237" s="65"/>
    </row>
    <row r="238" spans="2:18" ht="15" x14ac:dyDescent="0.25">
      <c r="B238" s="69"/>
      <c r="D238" s="70"/>
      <c r="E238" s="65"/>
      <c r="F238" s="65"/>
      <c r="G238" s="65"/>
      <c r="H238" s="65"/>
      <c r="I238" s="65"/>
      <c r="J238" s="65"/>
      <c r="K238" s="65"/>
      <c r="L238" s="65"/>
      <c r="M238" s="68"/>
      <c r="N238" s="65"/>
      <c r="O238" s="65"/>
      <c r="P238" s="65"/>
      <c r="Q238" s="65"/>
      <c r="R238" s="65"/>
    </row>
    <row r="239" spans="2:18" ht="15" x14ac:dyDescent="0.25">
      <c r="B239" s="69"/>
      <c r="D239" s="70"/>
      <c r="E239" s="65"/>
      <c r="F239" s="65"/>
      <c r="G239" s="65"/>
      <c r="H239" s="65"/>
      <c r="I239" s="65"/>
      <c r="J239" s="65"/>
      <c r="K239" s="65"/>
      <c r="L239" s="65"/>
      <c r="M239" s="68"/>
      <c r="N239" s="65"/>
      <c r="O239" s="65"/>
      <c r="P239" s="65"/>
      <c r="Q239" s="65"/>
      <c r="R239" s="65"/>
    </row>
    <row r="240" spans="2:18" ht="15" x14ac:dyDescent="0.25">
      <c r="B240" s="69"/>
      <c r="D240" s="70"/>
      <c r="E240" s="65"/>
      <c r="F240" s="65"/>
      <c r="G240" s="65"/>
      <c r="H240" s="65"/>
      <c r="I240" s="65"/>
      <c r="J240" s="65"/>
      <c r="K240" s="65"/>
      <c r="L240" s="65"/>
      <c r="M240" s="68"/>
      <c r="N240" s="65"/>
      <c r="O240" s="65"/>
      <c r="P240" s="65"/>
      <c r="Q240" s="65"/>
      <c r="R240" s="65"/>
    </row>
    <row r="241" spans="2:18" ht="15" x14ac:dyDescent="0.25">
      <c r="B241" s="69"/>
      <c r="D241" s="70"/>
      <c r="E241" s="65"/>
      <c r="F241" s="65"/>
      <c r="G241" s="65"/>
      <c r="H241" s="65"/>
      <c r="I241" s="65"/>
      <c r="J241" s="65"/>
      <c r="K241" s="65"/>
      <c r="L241" s="65"/>
      <c r="M241" s="68"/>
      <c r="N241" s="65"/>
      <c r="O241" s="65"/>
      <c r="P241" s="65"/>
      <c r="Q241" s="65"/>
      <c r="R241" s="65"/>
    </row>
    <row r="242" spans="2:18" ht="15" x14ac:dyDescent="0.25">
      <c r="B242" s="69"/>
      <c r="D242" s="70"/>
      <c r="E242" s="65"/>
      <c r="F242" s="65"/>
      <c r="G242" s="65"/>
      <c r="H242" s="65"/>
      <c r="I242" s="65"/>
      <c r="J242" s="65"/>
      <c r="K242" s="65"/>
      <c r="L242" s="65"/>
      <c r="M242" s="68"/>
      <c r="N242" s="65"/>
      <c r="O242" s="65"/>
      <c r="P242" s="65"/>
      <c r="Q242" s="65"/>
      <c r="R242" s="65"/>
    </row>
    <row r="243" spans="2:18" ht="15" x14ac:dyDescent="0.25">
      <c r="B243" s="69"/>
      <c r="D243" s="70"/>
      <c r="E243" s="65"/>
      <c r="F243" s="65"/>
      <c r="G243" s="65"/>
      <c r="H243" s="65"/>
      <c r="I243" s="65"/>
      <c r="J243" s="65"/>
      <c r="K243" s="65"/>
      <c r="L243" s="65"/>
      <c r="M243" s="68"/>
      <c r="N243" s="65"/>
      <c r="O243" s="65"/>
      <c r="P243" s="65"/>
      <c r="Q243" s="65"/>
      <c r="R243" s="65"/>
    </row>
    <row r="244" spans="2:18" ht="15" x14ac:dyDescent="0.25">
      <c r="B244" s="69"/>
      <c r="D244" s="70"/>
      <c r="E244" s="65"/>
      <c r="F244" s="65"/>
      <c r="G244" s="65"/>
      <c r="H244" s="65"/>
      <c r="I244" s="65"/>
      <c r="J244" s="65"/>
      <c r="K244" s="65"/>
      <c r="L244" s="65"/>
      <c r="M244" s="68"/>
      <c r="N244" s="65"/>
      <c r="O244" s="65"/>
      <c r="P244" s="65"/>
      <c r="Q244" s="65"/>
      <c r="R244" s="65"/>
    </row>
    <row r="245" spans="2:18" ht="15" x14ac:dyDescent="0.25">
      <c r="B245" s="69"/>
      <c r="D245" s="70"/>
      <c r="E245" s="65"/>
      <c r="F245" s="65"/>
      <c r="G245" s="65"/>
      <c r="H245" s="65"/>
      <c r="I245" s="65"/>
      <c r="J245" s="65"/>
      <c r="K245" s="65"/>
      <c r="L245" s="65"/>
      <c r="M245" s="68"/>
      <c r="N245" s="65"/>
      <c r="O245" s="65"/>
      <c r="P245" s="65"/>
      <c r="Q245" s="65"/>
      <c r="R245" s="65"/>
    </row>
    <row r="246" spans="2:18" ht="15" x14ac:dyDescent="0.25">
      <c r="B246" s="69"/>
      <c r="D246" s="70"/>
      <c r="E246" s="65"/>
      <c r="F246" s="65"/>
      <c r="G246" s="65"/>
      <c r="H246" s="65"/>
      <c r="I246" s="65"/>
      <c r="J246" s="65"/>
      <c r="K246" s="65"/>
      <c r="L246" s="65"/>
      <c r="M246" s="68"/>
      <c r="N246" s="65"/>
      <c r="O246" s="65"/>
      <c r="P246" s="65"/>
      <c r="Q246" s="65"/>
      <c r="R246" s="65"/>
    </row>
    <row r="247" spans="2:18" ht="15" x14ac:dyDescent="0.25">
      <c r="B247" s="69"/>
      <c r="D247" s="70"/>
      <c r="E247" s="65"/>
      <c r="F247" s="65"/>
      <c r="G247" s="65"/>
      <c r="H247" s="65"/>
      <c r="I247" s="65"/>
      <c r="J247" s="65"/>
      <c r="K247" s="65"/>
      <c r="L247" s="65"/>
      <c r="M247" s="68"/>
      <c r="N247" s="65"/>
      <c r="O247" s="65"/>
      <c r="P247" s="65"/>
      <c r="Q247" s="65"/>
      <c r="R247" s="65"/>
    </row>
    <row r="248" spans="2:18" ht="15" x14ac:dyDescent="0.25">
      <c r="B248" s="69"/>
      <c r="D248" s="70"/>
      <c r="E248" s="65"/>
      <c r="F248" s="65"/>
      <c r="G248" s="65"/>
      <c r="H248" s="65"/>
      <c r="I248" s="65"/>
      <c r="J248" s="65"/>
      <c r="K248" s="65"/>
      <c r="L248" s="65"/>
      <c r="M248" s="68"/>
      <c r="N248" s="65"/>
      <c r="O248" s="65"/>
      <c r="P248" s="65"/>
      <c r="Q248" s="65"/>
      <c r="R248" s="65"/>
    </row>
    <row r="249" spans="2:18" ht="15" x14ac:dyDescent="0.25">
      <c r="B249" s="69"/>
      <c r="D249" s="70"/>
      <c r="E249" s="65"/>
      <c r="F249" s="65"/>
      <c r="G249" s="65"/>
      <c r="H249" s="65"/>
      <c r="I249" s="65"/>
      <c r="J249" s="65"/>
      <c r="K249" s="65"/>
      <c r="L249" s="65"/>
      <c r="M249" s="68"/>
      <c r="N249" s="65"/>
      <c r="O249" s="65"/>
      <c r="P249" s="65"/>
      <c r="Q249" s="65"/>
      <c r="R249" s="65"/>
    </row>
    <row r="250" spans="2:18" ht="15" x14ac:dyDescent="0.25">
      <c r="B250" s="69"/>
      <c r="D250" s="70"/>
      <c r="E250" s="65"/>
      <c r="F250" s="65"/>
      <c r="G250" s="65"/>
      <c r="H250" s="65"/>
      <c r="I250" s="65"/>
      <c r="J250" s="65"/>
      <c r="K250" s="65"/>
      <c r="L250" s="65"/>
      <c r="M250" s="68"/>
      <c r="N250" s="65"/>
      <c r="O250" s="65"/>
      <c r="P250" s="65"/>
      <c r="Q250" s="65"/>
      <c r="R250" s="65"/>
    </row>
    <row r="251" spans="2:18" ht="15" x14ac:dyDescent="0.25">
      <c r="B251" s="69"/>
      <c r="D251" s="70"/>
      <c r="E251" s="65"/>
      <c r="F251" s="65"/>
      <c r="G251" s="65"/>
      <c r="H251" s="65"/>
      <c r="I251" s="65"/>
      <c r="J251" s="65"/>
      <c r="K251" s="65"/>
      <c r="L251" s="65"/>
      <c r="M251" s="68"/>
      <c r="N251" s="65"/>
      <c r="O251" s="65"/>
      <c r="P251" s="65"/>
      <c r="Q251" s="65"/>
      <c r="R251" s="65"/>
    </row>
    <row r="252" spans="2:18" ht="15" x14ac:dyDescent="0.25">
      <c r="B252" s="69"/>
      <c r="D252" s="70"/>
      <c r="E252" s="65"/>
      <c r="F252" s="65"/>
      <c r="G252" s="65"/>
      <c r="H252" s="65"/>
      <c r="I252" s="65"/>
      <c r="J252" s="65"/>
      <c r="K252" s="65"/>
      <c r="L252" s="65"/>
      <c r="M252" s="68"/>
      <c r="N252" s="65"/>
      <c r="O252" s="65"/>
      <c r="P252" s="65"/>
      <c r="Q252" s="65"/>
      <c r="R252" s="65"/>
    </row>
    <row r="253" spans="2:18" ht="15" x14ac:dyDescent="0.25">
      <c r="B253" s="69"/>
      <c r="D253" s="70"/>
      <c r="E253" s="65"/>
      <c r="F253" s="65"/>
      <c r="G253" s="65"/>
      <c r="H253" s="65"/>
      <c r="I253" s="65"/>
      <c r="J253" s="65"/>
      <c r="K253" s="65"/>
      <c r="L253" s="65"/>
      <c r="M253" s="68"/>
      <c r="N253" s="65"/>
      <c r="O253" s="65"/>
      <c r="P253" s="65"/>
      <c r="Q253" s="65"/>
      <c r="R253" s="65"/>
    </row>
    <row r="254" spans="2:18" ht="15" x14ac:dyDescent="0.25">
      <c r="B254" s="69"/>
      <c r="D254" s="70"/>
      <c r="E254" s="65"/>
      <c r="F254" s="65"/>
      <c r="G254" s="65"/>
      <c r="H254" s="65"/>
      <c r="I254" s="65"/>
      <c r="J254" s="65"/>
      <c r="K254" s="65"/>
      <c r="L254" s="65"/>
      <c r="M254" s="68"/>
      <c r="N254" s="65"/>
      <c r="O254" s="65"/>
      <c r="P254" s="65"/>
      <c r="Q254" s="65"/>
      <c r="R254" s="65"/>
    </row>
    <row r="255" spans="2:18" ht="15" x14ac:dyDescent="0.25">
      <c r="B255" s="69"/>
      <c r="D255" s="70"/>
      <c r="E255" s="65"/>
      <c r="F255" s="65"/>
      <c r="G255" s="65"/>
      <c r="H255" s="65"/>
      <c r="I255" s="65"/>
      <c r="J255" s="65"/>
      <c r="K255" s="65"/>
      <c r="L255" s="65"/>
      <c r="M255" s="68"/>
      <c r="N255" s="65"/>
      <c r="O255" s="65"/>
      <c r="P255" s="65"/>
      <c r="Q255" s="65"/>
      <c r="R255" s="65"/>
    </row>
    <row r="256" spans="2:18" ht="15" x14ac:dyDescent="0.25">
      <c r="B256" s="69"/>
      <c r="D256" s="70"/>
      <c r="E256" s="65"/>
      <c r="F256" s="65"/>
      <c r="G256" s="65"/>
      <c r="H256" s="65"/>
      <c r="I256" s="65"/>
      <c r="J256" s="65"/>
      <c r="K256" s="65"/>
      <c r="L256" s="65"/>
      <c r="M256" s="68"/>
      <c r="N256" s="65"/>
      <c r="O256" s="65"/>
      <c r="P256" s="65"/>
      <c r="Q256" s="65"/>
      <c r="R256" s="65"/>
    </row>
    <row r="257" spans="2:18" ht="15" x14ac:dyDescent="0.25">
      <c r="B257" s="69"/>
      <c r="D257" s="70"/>
      <c r="E257" s="65"/>
      <c r="F257" s="65"/>
      <c r="G257" s="65"/>
      <c r="H257" s="65"/>
      <c r="I257" s="65"/>
      <c r="J257" s="65"/>
      <c r="K257" s="65"/>
      <c r="L257" s="65"/>
      <c r="M257" s="68"/>
      <c r="N257" s="65"/>
      <c r="O257" s="65"/>
      <c r="P257" s="65"/>
      <c r="Q257" s="65"/>
      <c r="R257" s="65"/>
    </row>
    <row r="258" spans="2:18" ht="15" x14ac:dyDescent="0.25">
      <c r="B258" s="69"/>
      <c r="D258" s="70"/>
      <c r="E258" s="65"/>
      <c r="F258" s="65"/>
      <c r="G258" s="65"/>
      <c r="H258" s="65"/>
      <c r="I258" s="65"/>
      <c r="J258" s="65"/>
      <c r="K258" s="65"/>
      <c r="L258" s="65"/>
      <c r="M258" s="68"/>
      <c r="N258" s="65"/>
      <c r="O258" s="65"/>
      <c r="P258" s="65"/>
      <c r="Q258" s="65"/>
      <c r="R258" s="65"/>
    </row>
    <row r="259" spans="2:18" ht="15" x14ac:dyDescent="0.25">
      <c r="B259" s="69"/>
      <c r="D259" s="70"/>
      <c r="E259" s="65"/>
      <c r="F259" s="65"/>
      <c r="G259" s="65"/>
      <c r="H259" s="65"/>
      <c r="I259" s="65"/>
      <c r="J259" s="65"/>
      <c r="K259" s="65"/>
      <c r="L259" s="65"/>
      <c r="M259" s="68"/>
      <c r="N259" s="65"/>
      <c r="O259" s="65"/>
      <c r="P259" s="65"/>
      <c r="Q259" s="65"/>
      <c r="R259" s="65"/>
    </row>
    <row r="260" spans="2:18" ht="15" x14ac:dyDescent="0.25">
      <c r="B260" s="69"/>
      <c r="D260" s="70"/>
      <c r="E260" s="65"/>
      <c r="F260" s="65"/>
      <c r="G260" s="65"/>
      <c r="H260" s="65"/>
      <c r="I260" s="65"/>
      <c r="J260" s="65"/>
      <c r="K260" s="65"/>
      <c r="L260" s="65"/>
      <c r="M260" s="68"/>
      <c r="N260" s="65"/>
      <c r="O260" s="65"/>
      <c r="P260" s="65"/>
      <c r="Q260" s="65"/>
      <c r="R260" s="65"/>
    </row>
    <row r="261" spans="2:18" ht="15" x14ac:dyDescent="0.25">
      <c r="B261" s="69"/>
      <c r="D261" s="70"/>
      <c r="E261" s="65"/>
      <c r="F261" s="65"/>
      <c r="G261" s="65"/>
      <c r="H261" s="65"/>
      <c r="I261" s="65"/>
      <c r="J261" s="65"/>
      <c r="K261" s="65"/>
      <c r="L261" s="65"/>
      <c r="M261" s="68"/>
      <c r="N261" s="65"/>
      <c r="O261" s="65"/>
      <c r="P261" s="65"/>
      <c r="Q261" s="65"/>
      <c r="R261" s="65"/>
    </row>
    <row r="262" spans="2:18" ht="15" x14ac:dyDescent="0.25">
      <c r="B262" s="69"/>
      <c r="D262" s="70"/>
      <c r="E262" s="65"/>
      <c r="F262" s="65"/>
      <c r="G262" s="65"/>
      <c r="H262" s="65"/>
      <c r="I262" s="65"/>
      <c r="J262" s="65"/>
      <c r="K262" s="65"/>
      <c r="L262" s="65"/>
      <c r="M262" s="68"/>
      <c r="N262" s="65"/>
      <c r="O262" s="65"/>
      <c r="P262" s="65"/>
      <c r="Q262" s="65"/>
      <c r="R262" s="65"/>
    </row>
    <row r="263" spans="2:18" ht="15" x14ac:dyDescent="0.25">
      <c r="B263" s="69"/>
      <c r="D263" s="70"/>
      <c r="E263" s="65"/>
      <c r="F263" s="65"/>
      <c r="G263" s="65"/>
      <c r="H263" s="65"/>
      <c r="I263" s="65"/>
      <c r="J263" s="65"/>
      <c r="K263" s="65"/>
      <c r="L263" s="65"/>
      <c r="M263" s="68"/>
      <c r="N263" s="65"/>
      <c r="O263" s="65"/>
      <c r="P263" s="65"/>
      <c r="Q263" s="65"/>
      <c r="R263" s="65"/>
    </row>
    <row r="264" spans="2:18" ht="15" x14ac:dyDescent="0.25">
      <c r="B264" s="69"/>
      <c r="D264" s="70"/>
      <c r="E264" s="65"/>
      <c r="F264" s="65"/>
      <c r="G264" s="65"/>
      <c r="H264" s="65"/>
      <c r="I264" s="65"/>
      <c r="J264" s="65"/>
      <c r="K264" s="65"/>
      <c r="L264" s="65"/>
      <c r="M264" s="68"/>
      <c r="N264" s="65"/>
      <c r="O264" s="65"/>
      <c r="P264" s="65"/>
      <c r="Q264" s="65"/>
      <c r="R264" s="65"/>
    </row>
    <row r="265" spans="2:18" ht="15" x14ac:dyDescent="0.25">
      <c r="B265" s="69"/>
      <c r="D265" s="70"/>
      <c r="E265" s="65"/>
      <c r="F265" s="65"/>
      <c r="G265" s="65"/>
      <c r="H265" s="65"/>
      <c r="I265" s="65"/>
      <c r="J265" s="65"/>
      <c r="K265" s="65"/>
      <c r="L265" s="65"/>
      <c r="M265" s="68"/>
      <c r="N265" s="65"/>
      <c r="O265" s="65"/>
      <c r="P265" s="65"/>
      <c r="Q265" s="65"/>
      <c r="R265" s="65"/>
    </row>
    <row r="266" spans="2:18" ht="15" x14ac:dyDescent="0.25">
      <c r="B266" s="69"/>
      <c r="D266" s="70"/>
      <c r="E266" s="65"/>
      <c r="F266" s="65"/>
      <c r="G266" s="65"/>
      <c r="H266" s="65"/>
      <c r="I266" s="65"/>
      <c r="J266" s="65"/>
      <c r="K266" s="65"/>
      <c r="L266" s="65"/>
      <c r="M266" s="68"/>
      <c r="N266" s="65"/>
      <c r="O266" s="65"/>
      <c r="P266" s="65"/>
      <c r="Q266" s="65"/>
      <c r="R266" s="65"/>
    </row>
    <row r="267" spans="2:18" ht="15" x14ac:dyDescent="0.25">
      <c r="B267" s="69"/>
      <c r="D267" s="70"/>
      <c r="E267" s="65"/>
      <c r="F267" s="65"/>
      <c r="G267" s="65"/>
      <c r="H267" s="65"/>
      <c r="I267" s="65"/>
      <c r="J267" s="65"/>
      <c r="K267" s="65"/>
      <c r="L267" s="65"/>
      <c r="M267" s="68"/>
      <c r="N267" s="65"/>
      <c r="O267" s="65"/>
      <c r="P267" s="65"/>
      <c r="Q267" s="65"/>
      <c r="R267" s="65"/>
    </row>
    <row r="268" spans="2:18" ht="15" x14ac:dyDescent="0.25">
      <c r="B268" s="69"/>
      <c r="D268" s="70"/>
      <c r="E268" s="65"/>
      <c r="F268" s="65"/>
      <c r="G268" s="65"/>
      <c r="H268" s="65"/>
      <c r="I268" s="65"/>
      <c r="J268" s="65"/>
      <c r="K268" s="65"/>
      <c r="L268" s="65"/>
      <c r="M268" s="68"/>
      <c r="N268" s="65"/>
      <c r="O268" s="65"/>
      <c r="P268" s="65"/>
      <c r="Q268" s="65"/>
      <c r="R268" s="65"/>
    </row>
    <row r="269" spans="2:18" ht="15" x14ac:dyDescent="0.25">
      <c r="B269" s="69"/>
      <c r="D269" s="70"/>
      <c r="E269" s="65"/>
      <c r="F269" s="65"/>
      <c r="G269" s="65"/>
      <c r="H269" s="65"/>
      <c r="I269" s="65"/>
      <c r="J269" s="65"/>
      <c r="K269" s="65"/>
      <c r="L269" s="65"/>
      <c r="M269" s="68"/>
      <c r="N269" s="65"/>
      <c r="O269" s="65"/>
      <c r="P269" s="65"/>
      <c r="Q269" s="65"/>
      <c r="R269" s="65"/>
    </row>
    <row r="270" spans="2:18" ht="15" x14ac:dyDescent="0.25">
      <c r="B270" s="69"/>
      <c r="D270" s="70"/>
      <c r="E270" s="65"/>
      <c r="F270" s="65"/>
      <c r="G270" s="65"/>
      <c r="H270" s="65"/>
      <c r="I270" s="65"/>
      <c r="J270" s="65"/>
      <c r="K270" s="65"/>
      <c r="L270" s="65"/>
      <c r="M270" s="68"/>
      <c r="N270" s="65"/>
      <c r="O270" s="65"/>
      <c r="P270" s="65"/>
      <c r="Q270" s="65"/>
      <c r="R270" s="65"/>
    </row>
    <row r="271" spans="2:18" ht="15" x14ac:dyDescent="0.25">
      <c r="B271" s="69"/>
      <c r="D271" s="70"/>
      <c r="E271" s="65"/>
      <c r="F271" s="65"/>
      <c r="G271" s="65"/>
      <c r="H271" s="65"/>
      <c r="I271" s="65"/>
      <c r="J271" s="65"/>
      <c r="K271" s="65"/>
      <c r="L271" s="65"/>
      <c r="M271" s="68"/>
      <c r="N271" s="65"/>
      <c r="O271" s="65"/>
      <c r="P271" s="65"/>
      <c r="Q271" s="65"/>
      <c r="R271" s="65"/>
    </row>
    <row r="272" spans="2:18" ht="15" x14ac:dyDescent="0.25">
      <c r="B272" s="69"/>
      <c r="D272" s="70"/>
      <c r="E272" s="65"/>
      <c r="F272" s="65"/>
      <c r="G272" s="65"/>
      <c r="H272" s="65"/>
      <c r="I272" s="65"/>
      <c r="J272" s="65"/>
      <c r="K272" s="65"/>
      <c r="L272" s="65"/>
      <c r="M272" s="68"/>
      <c r="N272" s="65"/>
      <c r="O272" s="65"/>
      <c r="P272" s="65"/>
      <c r="Q272" s="65"/>
      <c r="R272" s="65"/>
    </row>
    <row r="273" spans="2:18" ht="15" x14ac:dyDescent="0.25">
      <c r="B273" s="69"/>
      <c r="D273" s="70"/>
      <c r="E273" s="65"/>
      <c r="F273" s="65"/>
      <c r="G273" s="65"/>
      <c r="H273" s="65"/>
      <c r="I273" s="65"/>
      <c r="J273" s="65"/>
      <c r="K273" s="65"/>
      <c r="L273" s="65"/>
      <c r="M273" s="68"/>
      <c r="N273" s="65"/>
      <c r="O273" s="65"/>
      <c r="P273" s="65"/>
      <c r="Q273" s="65"/>
      <c r="R273" s="65"/>
    </row>
    <row r="274" spans="2:18" ht="15" x14ac:dyDescent="0.25">
      <c r="B274" s="69"/>
      <c r="D274" s="70"/>
      <c r="E274" s="65"/>
      <c r="F274" s="65"/>
      <c r="G274" s="65"/>
      <c r="H274" s="65"/>
      <c r="I274" s="65"/>
      <c r="J274" s="65"/>
      <c r="K274" s="65"/>
      <c r="L274" s="65"/>
      <c r="M274" s="68"/>
      <c r="N274" s="65"/>
      <c r="O274" s="65"/>
      <c r="P274" s="65"/>
      <c r="Q274" s="65"/>
      <c r="R274" s="65"/>
    </row>
    <row r="275" spans="2:18" ht="15" x14ac:dyDescent="0.25">
      <c r="B275" s="69"/>
      <c r="D275" s="70"/>
      <c r="E275" s="65"/>
      <c r="F275" s="65"/>
      <c r="G275" s="65"/>
      <c r="H275" s="65"/>
      <c r="I275" s="65"/>
      <c r="J275" s="65"/>
      <c r="K275" s="65"/>
      <c r="L275" s="65"/>
      <c r="M275" s="68"/>
      <c r="N275" s="65"/>
      <c r="O275" s="65"/>
      <c r="P275" s="65"/>
      <c r="Q275" s="65"/>
      <c r="R275" s="65"/>
    </row>
    <row r="276" spans="2:18" ht="15" x14ac:dyDescent="0.25">
      <c r="B276" s="69"/>
      <c r="D276" s="70"/>
      <c r="E276" s="65"/>
      <c r="F276" s="65"/>
      <c r="G276" s="65"/>
      <c r="H276" s="65"/>
      <c r="I276" s="65"/>
      <c r="J276" s="65"/>
      <c r="K276" s="65"/>
      <c r="L276" s="65"/>
      <c r="M276" s="68"/>
      <c r="N276" s="65"/>
      <c r="O276" s="65"/>
      <c r="P276" s="65"/>
      <c r="Q276" s="65"/>
      <c r="R276" s="65"/>
    </row>
    <row r="277" spans="2:18" ht="15" x14ac:dyDescent="0.25">
      <c r="B277" s="69"/>
      <c r="D277" s="70"/>
      <c r="E277" s="65"/>
      <c r="F277" s="65"/>
      <c r="G277" s="65"/>
      <c r="H277" s="65"/>
      <c r="I277" s="65"/>
      <c r="J277" s="65"/>
      <c r="K277" s="65"/>
      <c r="L277" s="65"/>
      <c r="M277" s="68"/>
      <c r="N277" s="65"/>
      <c r="O277" s="65"/>
      <c r="P277" s="65"/>
      <c r="Q277" s="65"/>
      <c r="R277" s="65"/>
    </row>
    <row r="278" spans="2:18" ht="15" x14ac:dyDescent="0.25">
      <c r="B278" s="69"/>
      <c r="D278" s="70"/>
      <c r="E278" s="65"/>
      <c r="F278" s="65"/>
      <c r="G278" s="65"/>
      <c r="H278" s="65"/>
      <c r="I278" s="65"/>
      <c r="J278" s="65"/>
      <c r="K278" s="65"/>
      <c r="L278" s="65"/>
      <c r="M278" s="68"/>
      <c r="N278" s="65"/>
      <c r="O278" s="65"/>
      <c r="P278" s="65"/>
      <c r="Q278" s="65"/>
      <c r="R278" s="65"/>
    </row>
    <row r="279" spans="2:18" ht="15" x14ac:dyDescent="0.25">
      <c r="B279" s="69"/>
      <c r="D279" s="70"/>
      <c r="E279" s="65"/>
      <c r="F279" s="65"/>
      <c r="G279" s="65"/>
      <c r="H279" s="65"/>
      <c r="I279" s="65"/>
      <c r="J279" s="65"/>
      <c r="K279" s="65"/>
      <c r="L279" s="65"/>
      <c r="M279" s="68"/>
      <c r="N279" s="65"/>
      <c r="O279" s="65"/>
      <c r="P279" s="65"/>
      <c r="Q279" s="65"/>
      <c r="R279" s="65"/>
    </row>
    <row r="280" spans="2:18" ht="15" x14ac:dyDescent="0.25">
      <c r="B280" s="69"/>
      <c r="D280" s="70"/>
      <c r="E280" s="65"/>
      <c r="F280" s="65"/>
      <c r="G280" s="65"/>
      <c r="H280" s="65"/>
      <c r="I280" s="65"/>
      <c r="J280" s="65"/>
      <c r="K280" s="65"/>
      <c r="L280" s="65"/>
      <c r="M280" s="68"/>
      <c r="N280" s="65"/>
      <c r="O280" s="65"/>
      <c r="P280" s="65"/>
      <c r="Q280" s="65"/>
      <c r="R280" s="65"/>
    </row>
    <row r="281" spans="2:18" ht="15" x14ac:dyDescent="0.25">
      <c r="B281" s="69"/>
      <c r="D281" s="70"/>
      <c r="E281" s="65"/>
      <c r="F281" s="65"/>
      <c r="G281" s="65"/>
      <c r="H281" s="65"/>
      <c r="I281" s="65"/>
      <c r="J281" s="65"/>
      <c r="K281" s="65"/>
      <c r="L281" s="65"/>
      <c r="M281" s="68"/>
      <c r="N281" s="65"/>
      <c r="O281" s="65"/>
      <c r="P281" s="65"/>
      <c r="Q281" s="65"/>
      <c r="R281" s="65"/>
    </row>
    <row r="282" spans="2:18" ht="15" x14ac:dyDescent="0.25">
      <c r="B282" s="69"/>
      <c r="D282" s="70"/>
      <c r="E282" s="65"/>
      <c r="F282" s="65"/>
      <c r="G282" s="65"/>
      <c r="H282" s="65"/>
      <c r="I282" s="65"/>
      <c r="J282" s="65"/>
      <c r="K282" s="65"/>
      <c r="L282" s="65"/>
      <c r="M282" s="68"/>
      <c r="N282" s="65"/>
      <c r="O282" s="65"/>
      <c r="P282" s="65"/>
      <c r="Q282" s="65"/>
      <c r="R282" s="65"/>
    </row>
    <row r="283" spans="2:18" ht="15" x14ac:dyDescent="0.25">
      <c r="B283" s="69"/>
      <c r="D283" s="70"/>
      <c r="E283" s="65"/>
      <c r="F283" s="65"/>
      <c r="G283" s="65"/>
      <c r="H283" s="65"/>
      <c r="I283" s="65"/>
      <c r="J283" s="65"/>
      <c r="K283" s="65"/>
      <c r="L283" s="65"/>
      <c r="M283" s="68"/>
      <c r="N283" s="65"/>
      <c r="O283" s="65"/>
      <c r="P283" s="65"/>
      <c r="Q283" s="65"/>
      <c r="R283" s="65"/>
    </row>
    <row r="284" spans="2:18" ht="15" x14ac:dyDescent="0.25">
      <c r="B284" s="69"/>
      <c r="D284" s="70"/>
      <c r="E284" s="65"/>
      <c r="F284" s="65"/>
      <c r="G284" s="65"/>
      <c r="H284" s="65"/>
      <c r="I284" s="65"/>
      <c r="J284" s="65"/>
      <c r="K284" s="65"/>
      <c r="L284" s="65"/>
      <c r="M284" s="68"/>
      <c r="N284" s="65"/>
      <c r="O284" s="65"/>
      <c r="P284" s="65"/>
      <c r="Q284" s="65"/>
      <c r="R284" s="65"/>
    </row>
    <row r="285" spans="2:18" ht="15" x14ac:dyDescent="0.25">
      <c r="B285" s="69"/>
      <c r="D285" s="70"/>
      <c r="E285" s="65"/>
      <c r="F285" s="65"/>
      <c r="G285" s="65"/>
      <c r="H285" s="65"/>
      <c r="I285" s="65"/>
      <c r="J285" s="65"/>
      <c r="K285" s="65"/>
      <c r="L285" s="65"/>
      <c r="M285" s="68"/>
      <c r="N285" s="65"/>
      <c r="O285" s="65"/>
      <c r="P285" s="65"/>
      <c r="Q285" s="65"/>
      <c r="R285" s="65"/>
    </row>
    <row r="286" spans="2:18" ht="15" x14ac:dyDescent="0.25">
      <c r="B286" s="69"/>
      <c r="D286" s="70"/>
      <c r="E286" s="65"/>
      <c r="F286" s="65"/>
      <c r="G286" s="65"/>
      <c r="H286" s="65"/>
      <c r="I286" s="65"/>
      <c r="J286" s="65"/>
      <c r="K286" s="65"/>
      <c r="L286" s="65"/>
      <c r="M286" s="68"/>
      <c r="N286" s="65"/>
      <c r="O286" s="65"/>
      <c r="P286" s="65"/>
      <c r="Q286" s="65"/>
      <c r="R286" s="65"/>
    </row>
    <row r="287" spans="2:18" ht="15" x14ac:dyDescent="0.25">
      <c r="B287" s="69"/>
      <c r="D287" s="70"/>
      <c r="E287" s="65"/>
      <c r="F287" s="65"/>
      <c r="G287" s="65"/>
      <c r="H287" s="65"/>
      <c r="I287" s="65"/>
      <c r="J287" s="65"/>
      <c r="K287" s="65"/>
      <c r="L287" s="65"/>
      <c r="M287" s="68"/>
      <c r="N287" s="65"/>
      <c r="O287" s="65"/>
      <c r="P287" s="65"/>
      <c r="Q287" s="65"/>
      <c r="R287" s="65"/>
    </row>
    <row r="288" spans="2:18" ht="15" x14ac:dyDescent="0.25">
      <c r="B288" s="69"/>
      <c r="D288" s="70"/>
      <c r="E288" s="65"/>
      <c r="F288" s="65"/>
      <c r="G288" s="65"/>
      <c r="H288" s="65"/>
      <c r="I288" s="65"/>
      <c r="J288" s="65"/>
      <c r="K288" s="65"/>
      <c r="L288" s="65"/>
      <c r="M288" s="68"/>
      <c r="N288" s="65"/>
      <c r="O288" s="65"/>
      <c r="P288" s="65"/>
      <c r="Q288" s="65"/>
      <c r="R288" s="65"/>
    </row>
    <row r="289" spans="2:18" ht="15" x14ac:dyDescent="0.25">
      <c r="B289" s="69"/>
      <c r="D289" s="70"/>
      <c r="E289" s="65"/>
      <c r="F289" s="65"/>
      <c r="G289" s="65"/>
      <c r="H289" s="65"/>
      <c r="I289" s="65"/>
      <c r="J289" s="65"/>
      <c r="K289" s="65"/>
      <c r="L289" s="65"/>
      <c r="M289" s="68"/>
      <c r="N289" s="65"/>
      <c r="O289" s="65"/>
      <c r="P289" s="65"/>
      <c r="Q289" s="65"/>
      <c r="R289" s="65"/>
    </row>
    <row r="290" spans="2:18" ht="15" x14ac:dyDescent="0.25">
      <c r="B290" s="69"/>
      <c r="D290" s="70"/>
      <c r="E290" s="65"/>
      <c r="F290" s="65"/>
      <c r="G290" s="65"/>
      <c r="H290" s="65"/>
      <c r="I290" s="65"/>
      <c r="J290" s="65"/>
      <c r="K290" s="65"/>
      <c r="L290" s="65"/>
      <c r="M290" s="68"/>
      <c r="N290" s="65"/>
      <c r="O290" s="65"/>
      <c r="P290" s="65"/>
      <c r="Q290" s="65"/>
      <c r="R290" s="65"/>
    </row>
    <row r="291" spans="2:18" ht="15" x14ac:dyDescent="0.25">
      <c r="B291" s="69"/>
      <c r="D291" s="70"/>
      <c r="E291" s="65"/>
      <c r="F291" s="65"/>
      <c r="G291" s="65"/>
      <c r="H291" s="65"/>
      <c r="I291" s="65"/>
      <c r="J291" s="65"/>
      <c r="K291" s="65"/>
      <c r="L291" s="65"/>
      <c r="M291" s="68"/>
      <c r="N291" s="65"/>
      <c r="O291" s="65"/>
      <c r="P291" s="65"/>
      <c r="Q291" s="65"/>
      <c r="R291" s="65"/>
    </row>
    <row r="292" spans="2:18" ht="15" x14ac:dyDescent="0.25">
      <c r="B292" s="69"/>
      <c r="D292" s="70"/>
      <c r="E292" s="65"/>
      <c r="F292" s="65"/>
      <c r="G292" s="65"/>
      <c r="H292" s="65"/>
      <c r="I292" s="65"/>
      <c r="J292" s="65"/>
      <c r="K292" s="65"/>
      <c r="L292" s="65"/>
      <c r="M292" s="68"/>
      <c r="N292" s="65"/>
      <c r="O292" s="65"/>
      <c r="P292" s="65"/>
      <c r="Q292" s="65"/>
      <c r="R292" s="65"/>
    </row>
    <row r="293" spans="2:18" ht="15" x14ac:dyDescent="0.25">
      <c r="B293" s="69"/>
      <c r="D293" s="70"/>
      <c r="E293" s="65"/>
      <c r="F293" s="65"/>
      <c r="G293" s="65"/>
      <c r="H293" s="65"/>
      <c r="I293" s="65"/>
      <c r="J293" s="65"/>
      <c r="K293" s="65"/>
      <c r="L293" s="65"/>
      <c r="M293" s="68"/>
      <c r="N293" s="65"/>
      <c r="O293" s="65"/>
      <c r="P293" s="65"/>
      <c r="Q293" s="65"/>
      <c r="R293" s="65"/>
    </row>
    <row r="294" spans="2:18" ht="15" x14ac:dyDescent="0.25">
      <c r="B294" s="69"/>
      <c r="D294" s="70"/>
      <c r="E294" s="65"/>
      <c r="F294" s="65"/>
      <c r="G294" s="65"/>
      <c r="H294" s="65"/>
      <c r="I294" s="65"/>
      <c r="J294" s="65"/>
      <c r="K294" s="65"/>
      <c r="L294" s="65"/>
      <c r="M294" s="68"/>
      <c r="N294" s="65"/>
      <c r="O294" s="65"/>
      <c r="P294" s="65"/>
      <c r="Q294" s="65"/>
      <c r="R294" s="65"/>
    </row>
    <row r="295" spans="2:18" ht="15" x14ac:dyDescent="0.25">
      <c r="B295" s="69"/>
      <c r="D295" s="70"/>
      <c r="E295" s="65"/>
      <c r="F295" s="65"/>
      <c r="G295" s="65"/>
      <c r="H295" s="65"/>
      <c r="I295" s="65"/>
      <c r="J295" s="65"/>
      <c r="K295" s="65"/>
      <c r="L295" s="65"/>
      <c r="M295" s="68"/>
      <c r="N295" s="65"/>
      <c r="O295" s="65"/>
      <c r="P295" s="65"/>
      <c r="Q295" s="65"/>
      <c r="R295" s="65"/>
    </row>
    <row r="296" spans="2:18" ht="15" x14ac:dyDescent="0.25">
      <c r="B296" s="69"/>
      <c r="D296" s="70"/>
      <c r="E296" s="65"/>
      <c r="F296" s="65"/>
      <c r="G296" s="65"/>
      <c r="H296" s="65"/>
      <c r="I296" s="65"/>
      <c r="J296" s="65"/>
      <c r="K296" s="65"/>
      <c r="L296" s="65"/>
      <c r="M296" s="68"/>
      <c r="N296" s="65"/>
      <c r="O296" s="65"/>
      <c r="P296" s="65"/>
      <c r="Q296" s="65"/>
      <c r="R296" s="65"/>
    </row>
    <row r="297" spans="2:18" ht="15" x14ac:dyDescent="0.25">
      <c r="B297" s="69"/>
      <c r="D297" s="70"/>
      <c r="E297" s="65"/>
      <c r="F297" s="65"/>
      <c r="G297" s="65"/>
      <c r="H297" s="65"/>
      <c r="I297" s="65"/>
      <c r="J297" s="65"/>
      <c r="K297" s="65"/>
      <c r="L297" s="65"/>
      <c r="M297" s="68"/>
      <c r="N297" s="65"/>
      <c r="O297" s="65"/>
      <c r="P297" s="65"/>
      <c r="Q297" s="65"/>
      <c r="R297" s="65"/>
    </row>
    <row r="298" spans="2:18" ht="15" x14ac:dyDescent="0.25">
      <c r="B298" s="69"/>
      <c r="D298" s="70"/>
      <c r="E298" s="65"/>
      <c r="F298" s="65"/>
      <c r="G298" s="65"/>
      <c r="H298" s="65"/>
      <c r="I298" s="65"/>
      <c r="J298" s="65"/>
      <c r="K298" s="65"/>
      <c r="L298" s="65"/>
      <c r="M298" s="68"/>
      <c r="N298" s="65"/>
      <c r="O298" s="65"/>
      <c r="P298" s="65"/>
      <c r="Q298" s="65"/>
      <c r="R298" s="65"/>
    </row>
    <row r="299" spans="2:18" ht="15" x14ac:dyDescent="0.25">
      <c r="B299" s="69"/>
      <c r="D299" s="70"/>
      <c r="E299" s="65"/>
      <c r="F299" s="65"/>
      <c r="G299" s="65"/>
      <c r="H299" s="65"/>
      <c r="I299" s="65"/>
      <c r="J299" s="65"/>
      <c r="K299" s="65"/>
      <c r="L299" s="65"/>
      <c r="M299" s="68"/>
      <c r="N299" s="65"/>
      <c r="O299" s="65"/>
      <c r="P299" s="65"/>
      <c r="Q299" s="65"/>
      <c r="R299" s="65"/>
    </row>
    <row r="300" spans="2:18" ht="15" x14ac:dyDescent="0.25">
      <c r="B300" s="69"/>
      <c r="D300" s="70"/>
      <c r="E300" s="65"/>
      <c r="F300" s="65"/>
      <c r="G300" s="65"/>
      <c r="H300" s="65"/>
      <c r="I300" s="65"/>
      <c r="J300" s="65"/>
      <c r="K300" s="65"/>
      <c r="L300" s="65"/>
      <c r="M300" s="68"/>
      <c r="N300" s="65"/>
      <c r="O300" s="65"/>
      <c r="P300" s="65"/>
      <c r="Q300" s="65"/>
      <c r="R300" s="65"/>
    </row>
    <row r="301" spans="2:18" ht="15" x14ac:dyDescent="0.25">
      <c r="B301" s="69"/>
      <c r="D301" s="70"/>
      <c r="E301" s="65"/>
      <c r="F301" s="65"/>
      <c r="G301" s="65"/>
      <c r="H301" s="65"/>
      <c r="I301" s="65"/>
      <c r="J301" s="65"/>
      <c r="K301" s="65"/>
      <c r="L301" s="65"/>
      <c r="M301" s="68"/>
      <c r="N301" s="65"/>
      <c r="O301" s="65"/>
      <c r="P301" s="65"/>
      <c r="Q301" s="65"/>
      <c r="R301" s="65"/>
    </row>
    <row r="302" spans="2:18" ht="15" x14ac:dyDescent="0.25">
      <c r="B302" s="69"/>
      <c r="D302" s="70"/>
      <c r="E302" s="65"/>
      <c r="F302" s="65"/>
      <c r="G302" s="65"/>
      <c r="H302" s="65"/>
      <c r="I302" s="65"/>
      <c r="J302" s="65"/>
      <c r="K302" s="65"/>
      <c r="L302" s="65"/>
      <c r="M302" s="68"/>
      <c r="N302" s="65"/>
      <c r="O302" s="65"/>
      <c r="P302" s="65"/>
      <c r="Q302" s="65"/>
      <c r="R302" s="65"/>
    </row>
    <row r="303" spans="2:18" ht="15" x14ac:dyDescent="0.25">
      <c r="B303" s="69"/>
      <c r="D303" s="70"/>
      <c r="E303" s="65"/>
      <c r="F303" s="65"/>
      <c r="G303" s="65"/>
      <c r="H303" s="65"/>
      <c r="I303" s="65"/>
      <c r="J303" s="65"/>
      <c r="K303" s="65"/>
      <c r="L303" s="65"/>
      <c r="M303" s="68"/>
      <c r="N303" s="65"/>
      <c r="O303" s="65"/>
      <c r="P303" s="65"/>
      <c r="Q303" s="65"/>
      <c r="R303" s="65"/>
    </row>
    <row r="304" spans="2:18" ht="15" x14ac:dyDescent="0.25">
      <c r="B304" s="69"/>
      <c r="D304" s="70"/>
      <c r="E304" s="65"/>
      <c r="F304" s="65"/>
      <c r="G304" s="65"/>
      <c r="H304" s="65"/>
      <c r="I304" s="65"/>
      <c r="J304" s="65"/>
      <c r="K304" s="65"/>
      <c r="L304" s="65"/>
      <c r="M304" s="68"/>
      <c r="N304" s="65"/>
      <c r="O304" s="65"/>
      <c r="P304" s="65"/>
      <c r="Q304" s="65"/>
      <c r="R304" s="65"/>
    </row>
    <row r="305" spans="2:18" ht="15" x14ac:dyDescent="0.25">
      <c r="B305" s="69"/>
      <c r="D305" s="70"/>
      <c r="E305" s="65"/>
      <c r="F305" s="65"/>
      <c r="G305" s="65"/>
      <c r="H305" s="65"/>
      <c r="I305" s="65"/>
      <c r="J305" s="65"/>
      <c r="K305" s="65"/>
      <c r="L305" s="65"/>
      <c r="M305" s="68"/>
      <c r="N305" s="65"/>
      <c r="O305" s="65"/>
      <c r="P305" s="65"/>
      <c r="Q305" s="65"/>
      <c r="R305" s="65"/>
    </row>
    <row r="306" spans="2:18" ht="15" x14ac:dyDescent="0.25">
      <c r="B306" s="69"/>
      <c r="D306" s="70"/>
      <c r="E306" s="65"/>
      <c r="F306" s="65"/>
      <c r="G306" s="65"/>
      <c r="H306" s="65"/>
      <c r="I306" s="65"/>
      <c r="J306" s="65"/>
      <c r="K306" s="65"/>
      <c r="L306" s="65"/>
      <c r="M306" s="68"/>
      <c r="N306" s="65"/>
      <c r="O306" s="65"/>
      <c r="P306" s="65"/>
      <c r="Q306" s="65"/>
      <c r="R306" s="65"/>
    </row>
    <row r="307" spans="2:18" ht="15" x14ac:dyDescent="0.25">
      <c r="B307" s="69"/>
      <c r="D307" s="70"/>
      <c r="E307" s="65"/>
      <c r="F307" s="65"/>
      <c r="G307" s="65"/>
      <c r="H307" s="65"/>
      <c r="I307" s="65"/>
      <c r="J307" s="65"/>
      <c r="K307" s="65"/>
      <c r="L307" s="65"/>
      <c r="M307" s="68"/>
      <c r="N307" s="65"/>
      <c r="O307" s="65"/>
      <c r="P307" s="65"/>
      <c r="Q307" s="65"/>
      <c r="R307" s="65"/>
    </row>
    <row r="308" spans="2:18" ht="15" x14ac:dyDescent="0.25">
      <c r="B308" s="69"/>
      <c r="D308" s="70"/>
      <c r="E308" s="65"/>
      <c r="F308" s="65"/>
      <c r="G308" s="65"/>
      <c r="H308" s="65"/>
      <c r="I308" s="65"/>
      <c r="J308" s="65"/>
      <c r="K308" s="65"/>
      <c r="L308" s="65"/>
      <c r="M308" s="68"/>
      <c r="N308" s="65"/>
      <c r="O308" s="65"/>
      <c r="P308" s="65"/>
      <c r="Q308" s="65"/>
      <c r="R308" s="65"/>
    </row>
    <row r="309" spans="2:18" ht="15" x14ac:dyDescent="0.25">
      <c r="B309" s="69"/>
      <c r="D309" s="70"/>
      <c r="E309" s="65"/>
      <c r="F309" s="65"/>
      <c r="G309" s="65"/>
      <c r="H309" s="65"/>
      <c r="I309" s="65"/>
      <c r="J309" s="65"/>
      <c r="K309" s="65"/>
      <c r="L309" s="65"/>
      <c r="M309" s="68"/>
      <c r="N309" s="65"/>
      <c r="O309" s="65"/>
      <c r="P309" s="65"/>
      <c r="Q309" s="65"/>
      <c r="R309" s="65"/>
    </row>
    <row r="310" spans="2:18" ht="15" x14ac:dyDescent="0.25">
      <c r="B310" s="69"/>
      <c r="D310" s="70"/>
      <c r="E310" s="65"/>
      <c r="F310" s="65"/>
      <c r="G310" s="65"/>
      <c r="H310" s="65"/>
      <c r="I310" s="65"/>
      <c r="J310" s="65"/>
      <c r="K310" s="65"/>
      <c r="L310" s="65"/>
      <c r="M310" s="68"/>
      <c r="N310" s="65"/>
      <c r="O310" s="65"/>
      <c r="P310" s="65"/>
      <c r="Q310" s="65"/>
      <c r="R310" s="65"/>
    </row>
    <row r="311" spans="2:18" ht="15" x14ac:dyDescent="0.25">
      <c r="B311" s="69"/>
      <c r="D311" s="70"/>
      <c r="E311" s="65"/>
      <c r="F311" s="65"/>
      <c r="G311" s="65"/>
      <c r="H311" s="65"/>
      <c r="I311" s="65"/>
      <c r="J311" s="65"/>
      <c r="K311" s="65"/>
      <c r="L311" s="65"/>
      <c r="M311" s="68"/>
      <c r="N311" s="65"/>
      <c r="O311" s="65"/>
      <c r="P311" s="65"/>
      <c r="Q311" s="65"/>
      <c r="R311" s="65"/>
    </row>
    <row r="312" spans="2:18" ht="15" x14ac:dyDescent="0.25">
      <c r="B312" s="69"/>
      <c r="D312" s="70"/>
      <c r="E312" s="65"/>
      <c r="F312" s="65"/>
      <c r="G312" s="65"/>
      <c r="H312" s="65"/>
      <c r="I312" s="65"/>
      <c r="J312" s="65"/>
      <c r="K312" s="65"/>
      <c r="L312" s="65"/>
      <c r="M312" s="68"/>
      <c r="N312" s="65"/>
      <c r="O312" s="65"/>
      <c r="P312" s="65"/>
      <c r="Q312" s="65"/>
      <c r="R312" s="65"/>
    </row>
    <row r="313" spans="2:18" ht="15" x14ac:dyDescent="0.25">
      <c r="B313" s="69"/>
      <c r="D313" s="70"/>
      <c r="E313" s="65"/>
      <c r="F313" s="65"/>
      <c r="G313" s="65"/>
      <c r="H313" s="65"/>
      <c r="I313" s="65"/>
      <c r="J313" s="65"/>
      <c r="K313" s="65"/>
      <c r="L313" s="65"/>
      <c r="M313" s="68"/>
      <c r="N313" s="65"/>
      <c r="O313" s="65"/>
      <c r="P313" s="65"/>
      <c r="Q313" s="65"/>
      <c r="R313" s="65"/>
    </row>
    <row r="314" spans="2:18" ht="15" x14ac:dyDescent="0.25">
      <c r="B314" s="69"/>
      <c r="D314" s="70"/>
      <c r="E314" s="65"/>
      <c r="F314" s="65"/>
      <c r="G314" s="65"/>
      <c r="H314" s="65"/>
      <c r="I314" s="65"/>
      <c r="J314" s="65"/>
      <c r="K314" s="65"/>
      <c r="L314" s="65"/>
      <c r="M314" s="68"/>
      <c r="N314" s="65"/>
      <c r="O314" s="65"/>
      <c r="P314" s="65"/>
      <c r="Q314" s="65"/>
      <c r="R314" s="65"/>
    </row>
    <row r="315" spans="2:18" ht="15" x14ac:dyDescent="0.25">
      <c r="B315" s="69"/>
      <c r="D315" s="70"/>
      <c r="E315" s="65"/>
      <c r="F315" s="65"/>
      <c r="G315" s="65"/>
      <c r="H315" s="65"/>
      <c r="I315" s="65"/>
      <c r="J315" s="65"/>
      <c r="K315" s="65"/>
      <c r="L315" s="65"/>
      <c r="M315" s="68"/>
      <c r="N315" s="65"/>
      <c r="O315" s="65"/>
      <c r="P315" s="65"/>
      <c r="Q315" s="65"/>
      <c r="R315" s="65"/>
    </row>
    <row r="316" spans="2:18" ht="15" x14ac:dyDescent="0.25">
      <c r="B316" s="69"/>
      <c r="D316" s="70"/>
      <c r="E316" s="65"/>
      <c r="F316" s="65"/>
      <c r="G316" s="65"/>
      <c r="H316" s="65"/>
      <c r="I316" s="65"/>
      <c r="J316" s="65"/>
      <c r="K316" s="65"/>
      <c r="L316" s="65"/>
      <c r="M316" s="68"/>
      <c r="N316" s="65"/>
      <c r="O316" s="65"/>
      <c r="P316" s="65"/>
      <c r="Q316" s="65"/>
      <c r="R316" s="65"/>
    </row>
    <row r="317" spans="2:18" ht="15" x14ac:dyDescent="0.25">
      <c r="B317" s="69"/>
      <c r="D317" s="70"/>
      <c r="E317" s="65"/>
      <c r="F317" s="65"/>
      <c r="G317" s="65"/>
      <c r="H317" s="65"/>
      <c r="I317" s="65"/>
      <c r="J317" s="65"/>
      <c r="K317" s="65"/>
      <c r="L317" s="65"/>
      <c r="M317" s="68"/>
      <c r="N317" s="65"/>
      <c r="O317" s="65"/>
      <c r="P317" s="65"/>
      <c r="Q317" s="65"/>
      <c r="R317" s="65"/>
    </row>
    <row r="318" spans="2:18" ht="15" x14ac:dyDescent="0.25">
      <c r="B318" s="69"/>
      <c r="D318" s="70"/>
      <c r="E318" s="65"/>
      <c r="F318" s="65"/>
      <c r="G318" s="65"/>
      <c r="H318" s="65"/>
      <c r="I318" s="65"/>
      <c r="J318" s="65"/>
      <c r="K318" s="65"/>
      <c r="L318" s="65"/>
      <c r="M318" s="68"/>
      <c r="N318" s="65"/>
      <c r="O318" s="65"/>
      <c r="P318" s="65"/>
      <c r="Q318" s="65"/>
      <c r="R318" s="65"/>
    </row>
    <row r="319" spans="2:18" ht="15" x14ac:dyDescent="0.25">
      <c r="B319" s="69"/>
      <c r="D319" s="70"/>
      <c r="E319" s="65"/>
      <c r="F319" s="65"/>
      <c r="G319" s="65"/>
      <c r="H319" s="65"/>
      <c r="I319" s="65"/>
      <c r="J319" s="65"/>
      <c r="K319" s="65"/>
      <c r="L319" s="65"/>
      <c r="M319" s="68"/>
      <c r="N319" s="65"/>
      <c r="O319" s="65"/>
      <c r="P319" s="65"/>
      <c r="Q319" s="65"/>
      <c r="R319" s="65"/>
    </row>
    <row r="320" spans="2:18" ht="15" x14ac:dyDescent="0.25">
      <c r="B320" s="69"/>
      <c r="D320" s="70"/>
      <c r="E320" s="65"/>
      <c r="F320" s="65"/>
      <c r="G320" s="65"/>
      <c r="H320" s="65"/>
      <c r="I320" s="65"/>
      <c r="J320" s="65"/>
      <c r="K320" s="65"/>
      <c r="L320" s="65"/>
      <c r="M320" s="68"/>
      <c r="N320" s="65"/>
      <c r="O320" s="65"/>
      <c r="P320" s="65"/>
      <c r="Q320" s="65"/>
      <c r="R320" s="65"/>
    </row>
    <row r="321" spans="2:18" ht="15" x14ac:dyDescent="0.25">
      <c r="B321" s="69"/>
      <c r="D321" s="70"/>
      <c r="E321" s="65"/>
      <c r="F321" s="65"/>
      <c r="G321" s="65"/>
      <c r="H321" s="65"/>
      <c r="I321" s="65"/>
      <c r="J321" s="65"/>
      <c r="K321" s="65"/>
      <c r="L321" s="65"/>
      <c r="M321" s="68"/>
      <c r="N321" s="65"/>
      <c r="O321" s="65"/>
      <c r="P321" s="65"/>
      <c r="Q321" s="65"/>
      <c r="R321" s="65"/>
    </row>
    <row r="322" spans="2:18" ht="15" x14ac:dyDescent="0.25">
      <c r="B322" s="69"/>
      <c r="D322" s="70"/>
      <c r="E322" s="65"/>
      <c r="F322" s="65"/>
      <c r="G322" s="65"/>
      <c r="H322" s="65"/>
      <c r="I322" s="65"/>
      <c r="J322" s="65"/>
      <c r="K322" s="65"/>
      <c r="L322" s="65"/>
      <c r="M322" s="68"/>
      <c r="N322" s="65"/>
      <c r="O322" s="65"/>
      <c r="P322" s="65"/>
      <c r="Q322" s="65"/>
      <c r="R322" s="65"/>
    </row>
    <row r="323" spans="2:18" ht="15" x14ac:dyDescent="0.25">
      <c r="B323" s="69"/>
      <c r="D323" s="70"/>
      <c r="E323" s="65"/>
      <c r="F323" s="65"/>
      <c r="G323" s="65"/>
      <c r="H323" s="65"/>
      <c r="I323" s="65"/>
      <c r="J323" s="65"/>
      <c r="K323" s="65"/>
      <c r="L323" s="65"/>
      <c r="M323" s="68"/>
      <c r="N323" s="65"/>
      <c r="O323" s="65"/>
      <c r="P323" s="65"/>
      <c r="Q323" s="65"/>
      <c r="R323" s="65"/>
    </row>
    <row r="324" spans="2:18" ht="15" x14ac:dyDescent="0.25">
      <c r="B324" s="69"/>
      <c r="D324" s="70"/>
      <c r="E324" s="65"/>
      <c r="F324" s="65"/>
      <c r="G324" s="65"/>
      <c r="H324" s="65"/>
      <c r="I324" s="65"/>
      <c r="J324" s="65"/>
      <c r="K324" s="65"/>
      <c r="L324" s="65"/>
      <c r="M324" s="68"/>
      <c r="N324" s="65"/>
      <c r="O324" s="65"/>
      <c r="P324" s="65"/>
      <c r="Q324" s="65"/>
      <c r="R324" s="65"/>
    </row>
    <row r="325" spans="2:18" ht="15" x14ac:dyDescent="0.25">
      <c r="B325" s="69"/>
      <c r="D325" s="70"/>
      <c r="E325" s="65"/>
      <c r="F325" s="65"/>
      <c r="G325" s="65"/>
      <c r="H325" s="65"/>
      <c r="I325" s="65"/>
      <c r="J325" s="65"/>
      <c r="K325" s="65"/>
      <c r="L325" s="65"/>
      <c r="M325" s="68"/>
      <c r="N325" s="65"/>
      <c r="O325" s="65"/>
      <c r="P325" s="65"/>
      <c r="Q325" s="65"/>
      <c r="R325" s="65"/>
    </row>
    <row r="326" spans="2:18" ht="15" x14ac:dyDescent="0.25">
      <c r="B326" s="69"/>
      <c r="D326" s="70"/>
      <c r="E326" s="65"/>
      <c r="F326" s="65"/>
      <c r="G326" s="65"/>
      <c r="H326" s="65"/>
      <c r="I326" s="65"/>
      <c r="J326" s="65"/>
      <c r="K326" s="65"/>
      <c r="L326" s="65"/>
      <c r="M326" s="68"/>
      <c r="N326" s="65"/>
      <c r="O326" s="65"/>
      <c r="P326" s="65"/>
      <c r="Q326" s="65"/>
      <c r="R326" s="65"/>
    </row>
    <row r="327" spans="2:18" ht="15" x14ac:dyDescent="0.25">
      <c r="B327" s="69"/>
      <c r="D327" s="70"/>
      <c r="E327" s="65"/>
      <c r="F327" s="65"/>
      <c r="G327" s="65"/>
      <c r="H327" s="65"/>
      <c r="I327" s="65"/>
      <c r="J327" s="65"/>
      <c r="K327" s="65"/>
      <c r="L327" s="65"/>
      <c r="M327" s="68"/>
      <c r="N327" s="65"/>
      <c r="O327" s="65"/>
      <c r="P327" s="65"/>
      <c r="Q327" s="65"/>
      <c r="R327" s="65"/>
    </row>
    <row r="328" spans="2:18" ht="15" x14ac:dyDescent="0.25">
      <c r="B328" s="69"/>
      <c r="D328" s="70"/>
      <c r="E328" s="65"/>
      <c r="F328" s="65"/>
      <c r="G328" s="65"/>
      <c r="H328" s="65"/>
      <c r="I328" s="65"/>
      <c r="J328" s="65"/>
      <c r="K328" s="65"/>
      <c r="L328" s="65"/>
      <c r="M328" s="68"/>
      <c r="N328" s="65"/>
      <c r="O328" s="65"/>
      <c r="P328" s="65"/>
      <c r="Q328" s="65"/>
      <c r="R328" s="65"/>
    </row>
    <row r="329" spans="2:18" ht="15" x14ac:dyDescent="0.25">
      <c r="B329" s="69"/>
      <c r="D329" s="70"/>
      <c r="E329" s="65"/>
      <c r="F329" s="65"/>
      <c r="G329" s="65"/>
      <c r="H329" s="65"/>
      <c r="I329" s="65"/>
      <c r="J329" s="65"/>
      <c r="K329" s="65"/>
      <c r="L329" s="65"/>
      <c r="M329" s="68"/>
      <c r="N329" s="65"/>
      <c r="O329" s="65"/>
      <c r="P329" s="65"/>
      <c r="Q329" s="65"/>
      <c r="R329" s="65"/>
    </row>
    <row r="330" spans="2:18" ht="15" x14ac:dyDescent="0.25">
      <c r="B330" s="69"/>
      <c r="D330" s="70"/>
      <c r="E330" s="65"/>
      <c r="F330" s="65"/>
      <c r="G330" s="65"/>
      <c r="H330" s="65"/>
      <c r="I330" s="65"/>
      <c r="J330" s="65"/>
      <c r="K330" s="65"/>
      <c r="L330" s="65"/>
      <c r="M330" s="68"/>
      <c r="N330" s="65"/>
      <c r="O330" s="65"/>
      <c r="P330" s="65"/>
      <c r="Q330" s="65"/>
      <c r="R330" s="65"/>
    </row>
    <row r="331" spans="2:18" ht="15" x14ac:dyDescent="0.25">
      <c r="B331" s="69"/>
      <c r="D331" s="70"/>
      <c r="E331" s="65"/>
      <c r="F331" s="65"/>
      <c r="G331" s="65"/>
      <c r="H331" s="65"/>
      <c r="I331" s="65"/>
      <c r="J331" s="65"/>
      <c r="K331" s="65"/>
      <c r="L331" s="65"/>
      <c r="M331" s="68"/>
      <c r="N331" s="65"/>
      <c r="O331" s="65"/>
      <c r="P331" s="65"/>
      <c r="Q331" s="65"/>
      <c r="R331" s="65"/>
    </row>
    <row r="332" spans="2:18" ht="15" x14ac:dyDescent="0.25">
      <c r="B332" s="69"/>
      <c r="D332" s="70"/>
      <c r="E332" s="65"/>
      <c r="F332" s="65"/>
      <c r="G332" s="65"/>
      <c r="H332" s="65"/>
      <c r="I332" s="65"/>
      <c r="J332" s="65"/>
      <c r="K332" s="65"/>
      <c r="L332" s="65"/>
      <c r="M332" s="68"/>
      <c r="N332" s="65"/>
      <c r="O332" s="65"/>
      <c r="P332" s="65"/>
      <c r="Q332" s="65"/>
      <c r="R332" s="65"/>
    </row>
    <row r="333" spans="2:18" ht="15" x14ac:dyDescent="0.25">
      <c r="B333" s="69"/>
      <c r="D333" s="70"/>
      <c r="E333" s="65"/>
      <c r="F333" s="65"/>
      <c r="G333" s="65"/>
      <c r="H333" s="65"/>
      <c r="I333" s="65"/>
      <c r="J333" s="65"/>
      <c r="K333" s="65"/>
      <c r="L333" s="65"/>
      <c r="M333" s="68"/>
      <c r="N333" s="65"/>
      <c r="O333" s="65"/>
      <c r="P333" s="65"/>
      <c r="Q333" s="65"/>
      <c r="R333" s="65"/>
    </row>
    <row r="334" spans="2:18" ht="15" x14ac:dyDescent="0.25">
      <c r="B334" s="69"/>
      <c r="D334" s="70"/>
      <c r="E334" s="65"/>
      <c r="F334" s="65"/>
      <c r="G334" s="65"/>
      <c r="H334" s="65"/>
      <c r="I334" s="65"/>
      <c r="J334" s="65"/>
      <c r="K334" s="65"/>
      <c r="L334" s="65"/>
      <c r="M334" s="68"/>
      <c r="N334" s="65"/>
      <c r="O334" s="65"/>
      <c r="P334" s="65"/>
      <c r="Q334" s="65"/>
      <c r="R334" s="65"/>
    </row>
    <row r="335" spans="2:18" ht="15" x14ac:dyDescent="0.25">
      <c r="B335" s="69"/>
      <c r="D335" s="70"/>
      <c r="E335" s="65"/>
      <c r="F335" s="65"/>
      <c r="G335" s="65"/>
      <c r="H335" s="65"/>
      <c r="I335" s="65"/>
      <c r="J335" s="65"/>
      <c r="K335" s="65"/>
      <c r="L335" s="65"/>
      <c r="M335" s="68"/>
      <c r="N335" s="65"/>
      <c r="O335" s="65"/>
      <c r="P335" s="65"/>
      <c r="Q335" s="65"/>
      <c r="R335" s="65"/>
    </row>
    <row r="336" spans="2:18" ht="15" x14ac:dyDescent="0.25">
      <c r="B336" s="69"/>
      <c r="D336" s="70"/>
      <c r="E336" s="65"/>
      <c r="F336" s="65"/>
      <c r="G336" s="65"/>
      <c r="H336" s="65"/>
      <c r="I336" s="65"/>
      <c r="J336" s="65"/>
      <c r="K336" s="65"/>
      <c r="L336" s="65"/>
      <c r="M336" s="68"/>
      <c r="N336" s="65"/>
      <c r="O336" s="65"/>
      <c r="P336" s="65"/>
      <c r="Q336" s="65"/>
      <c r="R336" s="65"/>
    </row>
    <row r="337" spans="2:18" ht="15" x14ac:dyDescent="0.25">
      <c r="B337" s="69"/>
      <c r="D337" s="70"/>
      <c r="E337" s="65"/>
      <c r="F337" s="65"/>
      <c r="G337" s="65"/>
      <c r="H337" s="65"/>
      <c r="I337" s="65"/>
      <c r="J337" s="65"/>
      <c r="K337" s="65"/>
      <c r="L337" s="65"/>
      <c r="M337" s="68"/>
      <c r="N337" s="65"/>
      <c r="O337" s="65"/>
      <c r="P337" s="65"/>
      <c r="Q337" s="65"/>
      <c r="R337" s="65"/>
    </row>
    <row r="338" spans="2:18" ht="15" x14ac:dyDescent="0.25">
      <c r="B338" s="69"/>
      <c r="D338" s="70"/>
      <c r="E338" s="65"/>
      <c r="F338" s="65"/>
      <c r="G338" s="65"/>
      <c r="H338" s="65"/>
      <c r="I338" s="65"/>
      <c r="J338" s="65"/>
      <c r="K338" s="65"/>
      <c r="L338" s="65"/>
      <c r="M338" s="68"/>
      <c r="N338" s="65"/>
      <c r="O338" s="65"/>
      <c r="P338" s="65"/>
      <c r="Q338" s="65"/>
      <c r="R338" s="65"/>
    </row>
    <row r="339" spans="2:18" ht="15" x14ac:dyDescent="0.25">
      <c r="B339" s="69"/>
      <c r="D339" s="70"/>
      <c r="E339" s="65"/>
      <c r="F339" s="65"/>
      <c r="G339" s="65"/>
      <c r="H339" s="65"/>
      <c r="I339" s="65"/>
      <c r="J339" s="65"/>
      <c r="K339" s="65"/>
      <c r="L339" s="65"/>
      <c r="M339" s="68"/>
      <c r="N339" s="65"/>
      <c r="O339" s="65"/>
      <c r="P339" s="65"/>
      <c r="Q339" s="65"/>
      <c r="R339" s="65"/>
    </row>
    <row r="340" spans="2:18" ht="15" x14ac:dyDescent="0.25">
      <c r="B340" s="69"/>
      <c r="D340" s="70"/>
      <c r="E340" s="65"/>
      <c r="F340" s="65"/>
      <c r="G340" s="65"/>
      <c r="H340" s="65"/>
      <c r="I340" s="65"/>
      <c r="J340" s="65"/>
      <c r="K340" s="65"/>
      <c r="L340" s="65"/>
      <c r="M340" s="68"/>
      <c r="N340" s="65"/>
      <c r="O340" s="65"/>
      <c r="P340" s="65"/>
      <c r="Q340" s="65"/>
      <c r="R340" s="65"/>
    </row>
    <row r="341" spans="2:18" ht="15" x14ac:dyDescent="0.25">
      <c r="B341" s="69"/>
      <c r="D341" s="70"/>
      <c r="E341" s="65"/>
      <c r="F341" s="65"/>
      <c r="G341" s="65"/>
      <c r="H341" s="65"/>
      <c r="I341" s="65"/>
      <c r="J341" s="65"/>
      <c r="K341" s="65"/>
      <c r="L341" s="65"/>
      <c r="M341" s="68"/>
      <c r="N341" s="65"/>
      <c r="O341" s="65"/>
      <c r="P341" s="65"/>
      <c r="Q341" s="65"/>
      <c r="R341" s="65"/>
    </row>
    <row r="342" spans="2:18" ht="15" x14ac:dyDescent="0.25">
      <c r="B342" s="69"/>
      <c r="D342" s="70"/>
      <c r="E342" s="65"/>
      <c r="F342" s="65"/>
      <c r="G342" s="65"/>
      <c r="H342" s="65"/>
      <c r="I342" s="65"/>
      <c r="J342" s="65"/>
      <c r="K342" s="65"/>
      <c r="L342" s="65"/>
      <c r="M342" s="68"/>
      <c r="N342" s="65"/>
      <c r="O342" s="65"/>
      <c r="P342" s="65"/>
      <c r="Q342" s="65"/>
      <c r="R342" s="65"/>
    </row>
    <row r="343" spans="2:18" ht="15" x14ac:dyDescent="0.25">
      <c r="B343" s="69"/>
      <c r="D343" s="70"/>
      <c r="E343" s="65"/>
      <c r="F343" s="65"/>
      <c r="G343" s="65"/>
      <c r="H343" s="65"/>
      <c r="I343" s="65"/>
      <c r="J343" s="65"/>
      <c r="K343" s="65"/>
      <c r="L343" s="65"/>
      <c r="M343" s="68"/>
      <c r="N343" s="65"/>
      <c r="O343" s="65"/>
      <c r="P343" s="65"/>
      <c r="Q343" s="65"/>
      <c r="R343" s="65"/>
    </row>
    <row r="344" spans="2:18" ht="15" x14ac:dyDescent="0.25">
      <c r="B344" s="69"/>
      <c r="D344" s="70"/>
      <c r="E344" s="65"/>
      <c r="F344" s="65"/>
      <c r="G344" s="65"/>
      <c r="H344" s="65"/>
      <c r="I344" s="65"/>
      <c r="J344" s="65"/>
      <c r="K344" s="65"/>
      <c r="L344" s="65"/>
      <c r="M344" s="68"/>
      <c r="N344" s="65"/>
      <c r="O344" s="65"/>
      <c r="P344" s="65"/>
      <c r="Q344" s="65"/>
      <c r="R344" s="65"/>
    </row>
    <row r="345" spans="2:18" ht="15" x14ac:dyDescent="0.25">
      <c r="B345" s="69"/>
      <c r="D345" s="70"/>
      <c r="E345" s="65"/>
      <c r="F345" s="65"/>
      <c r="G345" s="65"/>
      <c r="H345" s="65"/>
      <c r="I345" s="65"/>
      <c r="J345" s="65"/>
      <c r="K345" s="65"/>
      <c r="L345" s="65"/>
      <c r="M345" s="68"/>
      <c r="N345" s="65"/>
      <c r="O345" s="65"/>
      <c r="P345" s="65"/>
      <c r="Q345" s="65"/>
      <c r="R345" s="65"/>
    </row>
    <row r="346" spans="2:18" ht="15" x14ac:dyDescent="0.25">
      <c r="B346" s="69"/>
      <c r="D346" s="70"/>
      <c r="E346" s="65"/>
      <c r="F346" s="65"/>
      <c r="G346" s="65"/>
      <c r="H346" s="65"/>
      <c r="I346" s="65"/>
      <c r="J346" s="65"/>
      <c r="K346" s="65"/>
      <c r="L346" s="65"/>
      <c r="M346" s="68"/>
      <c r="N346" s="65"/>
      <c r="O346" s="65"/>
      <c r="P346" s="65"/>
      <c r="Q346" s="65"/>
      <c r="R346" s="65"/>
    </row>
    <row r="347" spans="2:18" ht="15" x14ac:dyDescent="0.25">
      <c r="B347" s="69"/>
      <c r="D347" s="70"/>
      <c r="E347" s="65"/>
      <c r="F347" s="65"/>
      <c r="G347" s="65"/>
      <c r="H347" s="65"/>
      <c r="I347" s="65"/>
      <c r="J347" s="65"/>
      <c r="K347" s="65"/>
      <c r="L347" s="65"/>
      <c r="M347" s="68"/>
      <c r="N347" s="65"/>
      <c r="O347" s="65"/>
      <c r="P347" s="65"/>
      <c r="Q347" s="65"/>
      <c r="R347" s="65"/>
    </row>
    <row r="348" spans="2:18" ht="15" x14ac:dyDescent="0.25">
      <c r="B348" s="69"/>
      <c r="D348" s="70"/>
      <c r="E348" s="65"/>
      <c r="F348" s="65"/>
      <c r="G348" s="65"/>
      <c r="H348" s="65"/>
      <c r="I348" s="65"/>
      <c r="J348" s="65"/>
      <c r="K348" s="65"/>
      <c r="L348" s="65"/>
      <c r="M348" s="68"/>
      <c r="N348" s="65"/>
      <c r="O348" s="65"/>
      <c r="P348" s="65"/>
      <c r="Q348" s="65"/>
      <c r="R348" s="65"/>
    </row>
    <row r="349" spans="2:18" ht="15" x14ac:dyDescent="0.25">
      <c r="B349" s="69"/>
      <c r="D349" s="70"/>
      <c r="E349" s="65"/>
      <c r="F349" s="65"/>
      <c r="G349" s="65"/>
      <c r="H349" s="65"/>
      <c r="I349" s="65"/>
      <c r="J349" s="65"/>
      <c r="K349" s="65"/>
      <c r="L349" s="65"/>
      <c r="M349" s="68"/>
      <c r="N349" s="65"/>
      <c r="O349" s="65"/>
      <c r="P349" s="65"/>
      <c r="Q349" s="65"/>
      <c r="R349" s="65"/>
    </row>
    <row r="350" spans="2:18" ht="15" x14ac:dyDescent="0.25">
      <c r="B350" s="69"/>
      <c r="D350" s="70"/>
      <c r="E350" s="65"/>
      <c r="F350" s="65"/>
      <c r="G350" s="65"/>
      <c r="H350" s="65"/>
      <c r="I350" s="65"/>
      <c r="J350" s="65"/>
      <c r="K350" s="65"/>
      <c r="L350" s="65"/>
      <c r="M350" s="68"/>
      <c r="N350" s="65"/>
      <c r="O350" s="65"/>
      <c r="P350" s="65"/>
      <c r="Q350" s="65"/>
      <c r="R350" s="65"/>
    </row>
    <row r="351" spans="2:18" ht="15" x14ac:dyDescent="0.25">
      <c r="B351" s="69"/>
      <c r="D351" s="70"/>
      <c r="E351" s="65"/>
      <c r="F351" s="65"/>
      <c r="G351" s="65"/>
      <c r="H351" s="65"/>
      <c r="I351" s="65"/>
      <c r="J351" s="65"/>
      <c r="K351" s="65"/>
      <c r="L351" s="65"/>
      <c r="M351" s="68"/>
      <c r="N351" s="65"/>
      <c r="O351" s="65"/>
      <c r="P351" s="65"/>
      <c r="Q351" s="65"/>
      <c r="R351" s="65"/>
    </row>
    <row r="352" spans="2:18" ht="15" x14ac:dyDescent="0.25">
      <c r="B352" s="69"/>
      <c r="D352" s="70"/>
      <c r="E352" s="65"/>
      <c r="F352" s="65"/>
      <c r="G352" s="65"/>
      <c r="H352" s="65"/>
      <c r="I352" s="65"/>
      <c r="J352" s="65"/>
      <c r="K352" s="65"/>
      <c r="L352" s="65"/>
      <c r="M352" s="68"/>
      <c r="N352" s="65"/>
      <c r="O352" s="65"/>
      <c r="P352" s="65"/>
      <c r="Q352" s="65"/>
      <c r="R352" s="65"/>
    </row>
    <row r="353" spans="2:18" ht="15" x14ac:dyDescent="0.25">
      <c r="B353" s="69"/>
      <c r="D353" s="70"/>
      <c r="E353" s="65"/>
      <c r="F353" s="65"/>
      <c r="G353" s="65"/>
      <c r="H353" s="65"/>
      <c r="I353" s="65"/>
      <c r="J353" s="65"/>
      <c r="K353" s="65"/>
      <c r="L353" s="65"/>
      <c r="M353" s="68"/>
      <c r="N353" s="65"/>
      <c r="O353" s="65"/>
      <c r="P353" s="65"/>
      <c r="Q353" s="65"/>
      <c r="R353" s="65"/>
    </row>
    <row r="354" spans="2:18" ht="15" x14ac:dyDescent="0.25">
      <c r="B354" s="69"/>
      <c r="D354" s="70"/>
      <c r="E354" s="65"/>
      <c r="F354" s="65"/>
      <c r="G354" s="65"/>
      <c r="H354" s="65"/>
      <c r="I354" s="65"/>
      <c r="J354" s="65"/>
      <c r="K354" s="65"/>
      <c r="L354" s="65"/>
      <c r="M354" s="68"/>
      <c r="N354" s="65"/>
      <c r="O354" s="65"/>
      <c r="P354" s="65"/>
      <c r="Q354" s="65"/>
      <c r="R354" s="65"/>
    </row>
    <row r="355" spans="2:18" ht="15" x14ac:dyDescent="0.25">
      <c r="B355" s="69"/>
      <c r="D355" s="70"/>
      <c r="E355" s="65"/>
      <c r="F355" s="65"/>
      <c r="G355" s="65"/>
      <c r="H355" s="65"/>
      <c r="I355" s="65"/>
      <c r="J355" s="65"/>
      <c r="K355" s="65"/>
      <c r="L355" s="65"/>
      <c r="M355" s="68"/>
      <c r="N355" s="65"/>
      <c r="O355" s="65"/>
      <c r="P355" s="65"/>
      <c r="Q355" s="65"/>
      <c r="R355" s="65"/>
    </row>
    <row r="356" spans="2:18" ht="15" x14ac:dyDescent="0.25">
      <c r="B356" s="69"/>
      <c r="D356" s="70"/>
      <c r="E356" s="65"/>
      <c r="F356" s="65"/>
      <c r="G356" s="65"/>
      <c r="H356" s="65"/>
      <c r="I356" s="65"/>
      <c r="J356" s="65"/>
      <c r="K356" s="65"/>
      <c r="L356" s="65"/>
      <c r="M356" s="68"/>
      <c r="N356" s="65"/>
      <c r="O356" s="65"/>
      <c r="P356" s="65"/>
      <c r="Q356" s="65"/>
      <c r="R356" s="65"/>
    </row>
    <row r="357" spans="2:18" ht="15" x14ac:dyDescent="0.25">
      <c r="B357" s="69"/>
      <c r="D357" s="70"/>
      <c r="E357" s="65"/>
      <c r="F357" s="65"/>
      <c r="G357" s="65"/>
      <c r="H357" s="65"/>
      <c r="I357" s="65"/>
      <c r="J357" s="65"/>
      <c r="K357" s="65"/>
      <c r="L357" s="65"/>
      <c r="M357" s="68"/>
      <c r="N357" s="65"/>
      <c r="O357" s="65"/>
      <c r="P357" s="65"/>
      <c r="Q357" s="65"/>
      <c r="R357" s="65"/>
    </row>
    <row r="358" spans="2:18" ht="15" x14ac:dyDescent="0.25">
      <c r="B358" s="69"/>
      <c r="D358" s="70"/>
      <c r="E358" s="65"/>
      <c r="F358" s="65"/>
      <c r="G358" s="65"/>
      <c r="H358" s="65"/>
      <c r="I358" s="65"/>
      <c r="J358" s="65"/>
      <c r="K358" s="65"/>
      <c r="L358" s="65"/>
      <c r="M358" s="68"/>
      <c r="N358" s="65"/>
      <c r="O358" s="65"/>
      <c r="P358" s="65"/>
      <c r="Q358" s="65"/>
      <c r="R358" s="65"/>
    </row>
    <row r="359" spans="2:18" ht="15" x14ac:dyDescent="0.25">
      <c r="B359" s="69"/>
      <c r="D359" s="70"/>
      <c r="E359" s="65"/>
      <c r="F359" s="65"/>
      <c r="G359" s="65"/>
      <c r="H359" s="65"/>
      <c r="I359" s="65"/>
      <c r="J359" s="65"/>
      <c r="K359" s="65"/>
      <c r="L359" s="65"/>
      <c r="M359" s="68"/>
      <c r="N359" s="65"/>
      <c r="O359" s="65"/>
      <c r="P359" s="65"/>
      <c r="Q359" s="65"/>
      <c r="R359" s="65"/>
    </row>
    <row r="360" spans="2:18" ht="15" x14ac:dyDescent="0.25">
      <c r="B360" s="69"/>
      <c r="D360" s="70"/>
      <c r="E360" s="65"/>
      <c r="F360" s="65"/>
      <c r="G360" s="65"/>
      <c r="H360" s="65"/>
      <c r="I360" s="65"/>
      <c r="J360" s="65"/>
      <c r="K360" s="65"/>
      <c r="L360" s="65"/>
      <c r="M360" s="68"/>
      <c r="N360" s="65"/>
      <c r="O360" s="65"/>
      <c r="P360" s="65"/>
      <c r="Q360" s="65"/>
      <c r="R360" s="65"/>
    </row>
    <row r="361" spans="2:18" ht="15" x14ac:dyDescent="0.25">
      <c r="B361" s="69"/>
      <c r="D361" s="70"/>
      <c r="E361" s="65"/>
      <c r="F361" s="65"/>
      <c r="G361" s="65"/>
      <c r="H361" s="65"/>
      <c r="I361" s="65"/>
      <c r="J361" s="65"/>
      <c r="K361" s="65"/>
      <c r="L361" s="65"/>
      <c r="M361" s="68"/>
      <c r="N361" s="65"/>
      <c r="O361" s="65"/>
      <c r="P361" s="65"/>
      <c r="Q361" s="65"/>
      <c r="R361" s="65"/>
    </row>
    <row r="362" spans="2:18" ht="15" x14ac:dyDescent="0.25">
      <c r="B362" s="69"/>
      <c r="D362" s="70"/>
      <c r="E362" s="65"/>
      <c r="F362" s="65"/>
      <c r="G362" s="65"/>
      <c r="H362" s="65"/>
      <c r="I362" s="65"/>
      <c r="J362" s="65"/>
      <c r="K362" s="65"/>
      <c r="L362" s="65"/>
      <c r="M362" s="68"/>
      <c r="N362" s="65"/>
      <c r="O362" s="65"/>
      <c r="P362" s="65"/>
      <c r="Q362" s="65"/>
      <c r="R362" s="65"/>
    </row>
    <row r="363" spans="2:18" ht="15" x14ac:dyDescent="0.25">
      <c r="B363" s="69"/>
      <c r="D363" s="70"/>
      <c r="E363" s="65"/>
      <c r="F363" s="65"/>
      <c r="G363" s="65"/>
      <c r="H363" s="65"/>
      <c r="I363" s="65"/>
      <c r="J363" s="65"/>
      <c r="K363" s="65"/>
      <c r="L363" s="65"/>
      <c r="M363" s="68"/>
      <c r="N363" s="65"/>
      <c r="O363" s="65"/>
      <c r="P363" s="65"/>
      <c r="Q363" s="65"/>
      <c r="R363" s="65"/>
    </row>
    <row r="364" spans="2:18" ht="15" x14ac:dyDescent="0.25">
      <c r="B364" s="69"/>
      <c r="D364" s="70"/>
      <c r="E364" s="65"/>
      <c r="F364" s="65"/>
      <c r="G364" s="65"/>
      <c r="H364" s="65"/>
      <c r="I364" s="65"/>
      <c r="J364" s="65"/>
      <c r="K364" s="65"/>
      <c r="L364" s="65"/>
      <c r="M364" s="68"/>
      <c r="N364" s="65"/>
      <c r="O364" s="65"/>
      <c r="P364" s="65"/>
      <c r="Q364" s="65"/>
      <c r="R364" s="65"/>
    </row>
    <row r="365" spans="2:18" ht="15" x14ac:dyDescent="0.25">
      <c r="B365" s="69"/>
      <c r="D365" s="70"/>
      <c r="E365" s="65"/>
      <c r="F365" s="65"/>
      <c r="G365" s="65"/>
      <c r="H365" s="65"/>
      <c r="I365" s="65"/>
      <c r="J365" s="65"/>
      <c r="K365" s="65"/>
      <c r="L365" s="65"/>
      <c r="M365" s="68"/>
      <c r="N365" s="65"/>
      <c r="O365" s="65"/>
      <c r="P365" s="65"/>
      <c r="Q365" s="65"/>
      <c r="R365" s="65"/>
    </row>
    <row r="366" spans="2:18" ht="15" x14ac:dyDescent="0.25">
      <c r="B366" s="69"/>
      <c r="D366" s="70"/>
      <c r="E366" s="65"/>
      <c r="F366" s="65"/>
      <c r="G366" s="65"/>
      <c r="H366" s="65"/>
      <c r="I366" s="65"/>
      <c r="J366" s="65"/>
      <c r="K366" s="65"/>
      <c r="L366" s="65"/>
      <c r="M366" s="68"/>
      <c r="N366" s="65"/>
      <c r="O366" s="65"/>
      <c r="P366" s="65"/>
      <c r="Q366" s="65"/>
      <c r="R366" s="65"/>
    </row>
    <row r="367" spans="2:18" ht="15" x14ac:dyDescent="0.25">
      <c r="B367" s="69"/>
      <c r="D367" s="70"/>
      <c r="E367" s="65"/>
      <c r="F367" s="65"/>
      <c r="G367" s="65"/>
      <c r="H367" s="65"/>
      <c r="I367" s="65"/>
      <c r="J367" s="65"/>
      <c r="K367" s="65"/>
      <c r="L367" s="65"/>
      <c r="M367" s="68"/>
      <c r="N367" s="65"/>
      <c r="O367" s="65"/>
      <c r="P367" s="65"/>
      <c r="Q367" s="65"/>
      <c r="R367" s="65"/>
    </row>
    <row r="368" spans="2:18" ht="15" x14ac:dyDescent="0.25">
      <c r="B368" s="69"/>
      <c r="D368" s="70"/>
      <c r="E368" s="65"/>
      <c r="F368" s="65"/>
      <c r="G368" s="65"/>
      <c r="H368" s="65"/>
      <c r="I368" s="65"/>
      <c r="J368" s="65"/>
      <c r="K368" s="65"/>
      <c r="L368" s="65"/>
      <c r="M368" s="68"/>
      <c r="N368" s="65"/>
      <c r="O368" s="65"/>
      <c r="P368" s="65"/>
      <c r="Q368" s="65"/>
      <c r="R368" s="65"/>
    </row>
    <row r="369" spans="2:18" ht="15" x14ac:dyDescent="0.25">
      <c r="B369" s="69"/>
      <c r="D369" s="70"/>
      <c r="E369" s="65"/>
      <c r="F369" s="65"/>
      <c r="G369" s="65"/>
      <c r="H369" s="65"/>
      <c r="I369" s="65"/>
      <c r="J369" s="65"/>
      <c r="K369" s="65"/>
      <c r="L369" s="65"/>
      <c r="M369" s="68"/>
      <c r="N369" s="65"/>
      <c r="O369" s="65"/>
      <c r="P369" s="65"/>
      <c r="Q369" s="65"/>
      <c r="R369" s="65"/>
    </row>
    <row r="370" spans="2:18" ht="15" x14ac:dyDescent="0.25">
      <c r="B370" s="69"/>
      <c r="D370" s="70"/>
      <c r="E370" s="65"/>
      <c r="F370" s="65"/>
      <c r="G370" s="65"/>
      <c r="H370" s="65"/>
      <c r="I370" s="65"/>
      <c r="J370" s="65"/>
      <c r="K370" s="65"/>
      <c r="L370" s="65"/>
      <c r="M370" s="68"/>
      <c r="N370" s="65"/>
      <c r="O370" s="65"/>
      <c r="P370" s="65"/>
      <c r="Q370" s="65"/>
      <c r="R370" s="65"/>
    </row>
    <row r="371" spans="2:18" ht="15" x14ac:dyDescent="0.25">
      <c r="B371" s="69"/>
      <c r="D371" s="70"/>
      <c r="E371" s="65"/>
      <c r="F371" s="65"/>
      <c r="G371" s="65"/>
      <c r="H371" s="65"/>
      <c r="I371" s="65"/>
      <c r="J371" s="65"/>
      <c r="K371" s="65"/>
      <c r="L371" s="65"/>
      <c r="M371" s="68"/>
      <c r="N371" s="65"/>
      <c r="O371" s="65"/>
      <c r="P371" s="65"/>
      <c r="Q371" s="65"/>
      <c r="R371" s="65"/>
    </row>
    <row r="372" spans="2:18" ht="15" x14ac:dyDescent="0.25">
      <c r="B372" s="69"/>
      <c r="D372" s="70"/>
      <c r="E372" s="65"/>
      <c r="F372" s="65"/>
      <c r="G372" s="65"/>
      <c r="H372" s="65"/>
      <c r="I372" s="65"/>
      <c r="J372" s="65"/>
      <c r="K372" s="65"/>
      <c r="L372" s="65"/>
      <c r="M372" s="68"/>
      <c r="N372" s="65"/>
      <c r="O372" s="65"/>
      <c r="P372" s="65"/>
      <c r="Q372" s="65"/>
      <c r="R372" s="65"/>
    </row>
    <row r="373" spans="2:18" ht="15" x14ac:dyDescent="0.25">
      <c r="B373" s="69"/>
      <c r="D373" s="70"/>
      <c r="E373" s="65"/>
      <c r="F373" s="65"/>
      <c r="G373" s="65"/>
      <c r="H373" s="65"/>
      <c r="I373" s="65"/>
      <c r="J373" s="65"/>
      <c r="K373" s="65"/>
      <c r="L373" s="65"/>
      <c r="M373" s="68"/>
      <c r="N373" s="65"/>
      <c r="O373" s="65"/>
      <c r="P373" s="65"/>
      <c r="Q373" s="65"/>
      <c r="R373" s="65"/>
    </row>
    <row r="374" spans="2:18" ht="15" x14ac:dyDescent="0.25">
      <c r="B374" s="69"/>
      <c r="D374" s="70"/>
      <c r="E374" s="65"/>
      <c r="F374" s="65"/>
      <c r="G374" s="65"/>
      <c r="H374" s="65"/>
      <c r="I374" s="65"/>
      <c r="J374" s="65"/>
      <c r="K374" s="65"/>
      <c r="L374" s="65"/>
      <c r="M374" s="68"/>
      <c r="N374" s="65"/>
      <c r="O374" s="65"/>
      <c r="P374" s="65"/>
      <c r="Q374" s="65"/>
      <c r="R374" s="65"/>
    </row>
    <row r="375" spans="2:18" ht="15" x14ac:dyDescent="0.25">
      <c r="B375" s="69"/>
      <c r="D375" s="70"/>
      <c r="E375" s="65"/>
      <c r="F375" s="65"/>
      <c r="G375" s="65"/>
      <c r="H375" s="65"/>
      <c r="I375" s="65"/>
      <c r="J375" s="65"/>
      <c r="K375" s="65"/>
      <c r="L375" s="65"/>
      <c r="M375" s="68"/>
      <c r="N375" s="65"/>
      <c r="O375" s="65"/>
      <c r="P375" s="65"/>
      <c r="Q375" s="65"/>
      <c r="R375" s="65"/>
    </row>
    <row r="376" spans="2:18" ht="15" x14ac:dyDescent="0.25">
      <c r="B376" s="69"/>
      <c r="D376" s="70"/>
      <c r="E376" s="65"/>
      <c r="F376" s="65"/>
      <c r="G376" s="65"/>
      <c r="H376" s="65"/>
      <c r="I376" s="65"/>
      <c r="J376" s="65"/>
      <c r="K376" s="65"/>
      <c r="L376" s="65"/>
      <c r="M376" s="68"/>
      <c r="N376" s="65"/>
      <c r="O376" s="65"/>
      <c r="P376" s="65"/>
      <c r="Q376" s="65"/>
      <c r="R376" s="65"/>
    </row>
    <row r="377" spans="2:18" ht="15" x14ac:dyDescent="0.25">
      <c r="B377" s="69"/>
      <c r="D377" s="70"/>
      <c r="E377" s="65"/>
      <c r="F377" s="65"/>
      <c r="G377" s="65"/>
      <c r="H377" s="65"/>
      <c r="I377" s="65"/>
      <c r="J377" s="65"/>
      <c r="K377" s="65"/>
      <c r="L377" s="65"/>
      <c r="M377" s="68"/>
      <c r="N377" s="65"/>
      <c r="O377" s="65"/>
      <c r="P377" s="65"/>
      <c r="Q377" s="65"/>
      <c r="R377" s="65"/>
    </row>
    <row r="378" spans="2:18" ht="15" x14ac:dyDescent="0.25">
      <c r="B378" s="69"/>
      <c r="D378" s="70"/>
      <c r="E378" s="65"/>
      <c r="F378" s="65"/>
      <c r="G378" s="65"/>
      <c r="H378" s="65"/>
      <c r="I378" s="65"/>
      <c r="J378" s="65"/>
      <c r="K378" s="65"/>
      <c r="L378" s="65"/>
      <c r="M378" s="68"/>
      <c r="N378" s="65"/>
      <c r="O378" s="65"/>
      <c r="P378" s="65"/>
      <c r="Q378" s="65"/>
      <c r="R378" s="65"/>
    </row>
    <row r="379" spans="2:18" ht="15" x14ac:dyDescent="0.25">
      <c r="B379" s="69"/>
      <c r="D379" s="70"/>
      <c r="E379" s="65"/>
      <c r="F379" s="65"/>
      <c r="G379" s="65"/>
      <c r="H379" s="65"/>
      <c r="I379" s="65"/>
      <c r="J379" s="65"/>
      <c r="K379" s="65"/>
      <c r="L379" s="65"/>
      <c r="M379" s="68"/>
      <c r="N379" s="65"/>
      <c r="O379" s="65"/>
      <c r="P379" s="65"/>
      <c r="Q379" s="65"/>
      <c r="R379" s="65"/>
    </row>
    <row r="380" spans="2:18" ht="15" x14ac:dyDescent="0.25">
      <c r="B380" s="69"/>
      <c r="D380" s="70"/>
      <c r="E380" s="65"/>
      <c r="F380" s="65"/>
      <c r="G380" s="65"/>
      <c r="H380" s="65"/>
      <c r="I380" s="65"/>
      <c r="J380" s="65"/>
      <c r="K380" s="65"/>
      <c r="L380" s="65"/>
      <c r="M380" s="68"/>
      <c r="N380" s="65"/>
      <c r="O380" s="65"/>
      <c r="P380" s="65"/>
      <c r="Q380" s="65"/>
      <c r="R380" s="65"/>
    </row>
    <row r="381" spans="2:18" ht="15" x14ac:dyDescent="0.25">
      <c r="B381" s="69"/>
      <c r="D381" s="70"/>
      <c r="E381" s="65"/>
      <c r="F381" s="65"/>
      <c r="G381" s="65"/>
      <c r="H381" s="65"/>
      <c r="I381" s="65"/>
      <c r="J381" s="65"/>
      <c r="K381" s="65"/>
      <c r="L381" s="65"/>
      <c r="M381" s="68"/>
      <c r="N381" s="65"/>
      <c r="O381" s="65"/>
      <c r="P381" s="65"/>
      <c r="Q381" s="65"/>
      <c r="R381" s="65"/>
    </row>
    <row r="382" spans="2:18" ht="15" x14ac:dyDescent="0.25">
      <c r="B382" s="69"/>
      <c r="D382" s="70"/>
      <c r="E382" s="65"/>
      <c r="F382" s="65"/>
      <c r="G382" s="65"/>
      <c r="H382" s="65"/>
      <c r="I382" s="65"/>
      <c r="J382" s="65"/>
      <c r="K382" s="65"/>
      <c r="L382" s="65"/>
      <c r="M382" s="68"/>
      <c r="N382" s="65"/>
      <c r="O382" s="65"/>
      <c r="P382" s="65"/>
      <c r="Q382" s="65"/>
      <c r="R382" s="65"/>
    </row>
    <row r="383" spans="2:18" ht="15" x14ac:dyDescent="0.25">
      <c r="B383" s="69"/>
      <c r="D383" s="70"/>
      <c r="E383" s="65"/>
      <c r="F383" s="65"/>
      <c r="G383" s="65"/>
      <c r="H383" s="65"/>
      <c r="I383" s="65"/>
      <c r="J383" s="65"/>
      <c r="K383" s="65"/>
      <c r="L383" s="65"/>
      <c r="M383" s="68"/>
      <c r="N383" s="65"/>
      <c r="O383" s="65"/>
      <c r="P383" s="65"/>
      <c r="Q383" s="65"/>
      <c r="R383" s="65"/>
    </row>
    <row r="384" spans="2:18" ht="15" x14ac:dyDescent="0.25">
      <c r="B384" s="69"/>
      <c r="D384" s="70"/>
      <c r="E384" s="65"/>
      <c r="F384" s="65"/>
      <c r="G384" s="65"/>
      <c r="H384" s="65"/>
      <c r="I384" s="65"/>
      <c r="J384" s="65"/>
      <c r="K384" s="65"/>
      <c r="L384" s="65"/>
      <c r="M384" s="68"/>
      <c r="N384" s="65"/>
      <c r="O384" s="65"/>
      <c r="P384" s="65"/>
      <c r="Q384" s="65"/>
      <c r="R384" s="65"/>
    </row>
    <row r="385" spans="2:18" ht="15" x14ac:dyDescent="0.25">
      <c r="B385" s="69"/>
      <c r="D385" s="70"/>
      <c r="E385" s="65"/>
      <c r="F385" s="65"/>
      <c r="G385" s="65"/>
      <c r="H385" s="65"/>
      <c r="I385" s="65"/>
      <c r="J385" s="65"/>
      <c r="K385" s="65"/>
      <c r="L385" s="65"/>
      <c r="M385" s="68"/>
      <c r="N385" s="65"/>
      <c r="O385" s="65"/>
      <c r="P385" s="65"/>
      <c r="Q385" s="65"/>
      <c r="R385" s="65"/>
    </row>
    <row r="386" spans="2:18" ht="15" x14ac:dyDescent="0.25">
      <c r="B386" s="69"/>
      <c r="D386" s="70"/>
      <c r="E386" s="65"/>
      <c r="F386" s="65"/>
      <c r="G386" s="65"/>
      <c r="H386" s="65"/>
      <c r="I386" s="65"/>
      <c r="J386" s="65"/>
      <c r="K386" s="65"/>
      <c r="L386" s="65"/>
      <c r="M386" s="68"/>
      <c r="N386" s="65"/>
      <c r="O386" s="65"/>
      <c r="P386" s="65"/>
      <c r="Q386" s="65"/>
      <c r="R386" s="65"/>
    </row>
    <row r="387" spans="2:18" ht="15" x14ac:dyDescent="0.25">
      <c r="B387" s="69"/>
      <c r="D387" s="70"/>
      <c r="E387" s="65"/>
      <c r="F387" s="65"/>
      <c r="G387" s="65"/>
      <c r="H387" s="65"/>
      <c r="I387" s="65"/>
      <c r="J387" s="65"/>
      <c r="K387" s="65"/>
      <c r="L387" s="65"/>
      <c r="M387" s="68"/>
      <c r="N387" s="65"/>
      <c r="O387" s="65"/>
      <c r="P387" s="65"/>
      <c r="Q387" s="65"/>
      <c r="R387" s="65"/>
    </row>
    <row r="388" spans="2:18" ht="15" x14ac:dyDescent="0.25">
      <c r="B388" s="69"/>
      <c r="D388" s="70"/>
      <c r="E388" s="65"/>
      <c r="F388" s="65"/>
      <c r="G388" s="65"/>
      <c r="H388" s="65"/>
      <c r="I388" s="65"/>
      <c r="J388" s="65"/>
      <c r="K388" s="65"/>
      <c r="L388" s="65"/>
      <c r="M388" s="68"/>
      <c r="N388" s="65"/>
      <c r="O388" s="65"/>
      <c r="P388" s="65"/>
      <c r="Q388" s="65"/>
      <c r="R388" s="65"/>
    </row>
    <row r="389" spans="2:18" ht="15" x14ac:dyDescent="0.25">
      <c r="B389" s="69"/>
      <c r="D389" s="70"/>
      <c r="E389" s="65"/>
      <c r="F389" s="65"/>
      <c r="G389" s="65"/>
      <c r="H389" s="65"/>
      <c r="I389" s="65"/>
      <c r="J389" s="65"/>
      <c r="K389" s="65"/>
      <c r="L389" s="65"/>
      <c r="M389" s="68"/>
      <c r="N389" s="65"/>
      <c r="O389" s="65"/>
      <c r="P389" s="65"/>
      <c r="Q389" s="65"/>
      <c r="R389" s="65"/>
    </row>
    <row r="390" spans="2:18" ht="15" x14ac:dyDescent="0.25">
      <c r="B390" s="69"/>
      <c r="D390" s="70"/>
      <c r="E390" s="65"/>
      <c r="F390" s="65"/>
      <c r="G390" s="65"/>
      <c r="H390" s="65"/>
      <c r="I390" s="65"/>
      <c r="J390" s="65"/>
      <c r="K390" s="65"/>
      <c r="L390" s="65"/>
      <c r="M390" s="68"/>
      <c r="N390" s="65"/>
      <c r="O390" s="65"/>
      <c r="P390" s="65"/>
      <c r="Q390" s="65"/>
      <c r="R390" s="65"/>
    </row>
    <row r="391" spans="2:18" ht="15" x14ac:dyDescent="0.25">
      <c r="B391" s="69"/>
      <c r="D391" s="70"/>
      <c r="E391" s="65"/>
      <c r="F391" s="65"/>
      <c r="G391" s="65"/>
      <c r="H391" s="65"/>
      <c r="I391" s="65"/>
      <c r="J391" s="65"/>
      <c r="K391" s="65"/>
      <c r="L391" s="65"/>
      <c r="M391" s="68"/>
      <c r="N391" s="65"/>
      <c r="O391" s="65"/>
      <c r="P391" s="65"/>
      <c r="Q391" s="65"/>
      <c r="R391" s="65"/>
    </row>
    <row r="392" spans="2:18" ht="15" x14ac:dyDescent="0.25">
      <c r="B392" s="69"/>
      <c r="D392" s="70"/>
      <c r="E392" s="65"/>
      <c r="F392" s="65"/>
      <c r="G392" s="65"/>
      <c r="H392" s="65"/>
      <c r="I392" s="65"/>
      <c r="J392" s="65"/>
      <c r="K392" s="65"/>
      <c r="L392" s="65"/>
      <c r="M392" s="68"/>
      <c r="N392" s="65"/>
      <c r="O392" s="65"/>
      <c r="P392" s="65"/>
      <c r="Q392" s="65"/>
      <c r="R392" s="65"/>
    </row>
    <row r="393" spans="2:18" ht="15" x14ac:dyDescent="0.25">
      <c r="B393" s="69"/>
      <c r="D393" s="70"/>
      <c r="E393" s="65"/>
      <c r="F393" s="65"/>
      <c r="G393" s="65"/>
      <c r="H393" s="65"/>
      <c r="I393" s="65"/>
      <c r="J393" s="65"/>
      <c r="K393" s="65"/>
      <c r="L393" s="65"/>
      <c r="M393" s="68"/>
      <c r="N393" s="65"/>
      <c r="O393" s="65"/>
      <c r="P393" s="65"/>
      <c r="Q393" s="65"/>
      <c r="R393" s="65"/>
    </row>
    <row r="394" spans="2:18" ht="15" x14ac:dyDescent="0.25">
      <c r="B394" s="69"/>
      <c r="D394" s="70"/>
      <c r="E394" s="65"/>
      <c r="F394" s="65"/>
      <c r="G394" s="65"/>
      <c r="H394" s="65"/>
      <c r="I394" s="65"/>
      <c r="J394" s="65"/>
      <c r="K394" s="65"/>
      <c r="L394" s="65"/>
      <c r="M394" s="68"/>
      <c r="N394" s="65"/>
      <c r="O394" s="65"/>
      <c r="P394" s="65"/>
      <c r="Q394" s="65"/>
      <c r="R394" s="65"/>
    </row>
    <row r="395" spans="2:18" ht="15" x14ac:dyDescent="0.25">
      <c r="B395" s="69"/>
      <c r="D395" s="70"/>
      <c r="E395" s="65"/>
      <c r="F395" s="65"/>
      <c r="G395" s="65"/>
      <c r="H395" s="65"/>
      <c r="I395" s="65"/>
      <c r="J395" s="65"/>
      <c r="K395" s="65"/>
      <c r="L395" s="65"/>
      <c r="M395" s="68"/>
      <c r="N395" s="65"/>
      <c r="O395" s="65"/>
      <c r="P395" s="65"/>
      <c r="Q395" s="65"/>
      <c r="R395" s="65"/>
    </row>
    <row r="396" spans="2:18" ht="15" x14ac:dyDescent="0.25">
      <c r="B396" s="69"/>
      <c r="D396" s="70"/>
      <c r="E396" s="65"/>
      <c r="F396" s="65"/>
      <c r="G396" s="65"/>
      <c r="H396" s="65"/>
      <c r="I396" s="65"/>
      <c r="J396" s="65"/>
      <c r="K396" s="65"/>
      <c r="L396" s="65"/>
      <c r="M396" s="68"/>
      <c r="N396" s="65"/>
      <c r="O396" s="65"/>
      <c r="P396" s="65"/>
      <c r="Q396" s="65"/>
      <c r="R396" s="65"/>
    </row>
    <row r="397" spans="2:18" ht="15" x14ac:dyDescent="0.25">
      <c r="B397" s="69"/>
      <c r="D397" s="70"/>
      <c r="E397" s="65"/>
      <c r="F397" s="65"/>
      <c r="G397" s="65"/>
      <c r="H397" s="65"/>
      <c r="I397" s="65"/>
      <c r="J397" s="65"/>
      <c r="K397" s="65"/>
      <c r="L397" s="65"/>
      <c r="M397" s="68"/>
      <c r="N397" s="65"/>
      <c r="O397" s="65"/>
      <c r="P397" s="65"/>
      <c r="Q397" s="65"/>
      <c r="R397" s="65"/>
    </row>
    <row r="398" spans="2:18" ht="15" x14ac:dyDescent="0.25">
      <c r="B398" s="69"/>
      <c r="D398" s="70"/>
      <c r="E398" s="65"/>
      <c r="F398" s="65"/>
      <c r="G398" s="65"/>
      <c r="H398" s="65"/>
      <c r="I398" s="65"/>
      <c r="J398" s="65"/>
      <c r="K398" s="65"/>
      <c r="L398" s="65"/>
      <c r="M398" s="68"/>
      <c r="N398" s="65"/>
      <c r="O398" s="65"/>
      <c r="P398" s="65"/>
      <c r="Q398" s="65"/>
      <c r="R398" s="65"/>
    </row>
    <row r="399" spans="2:18" ht="15" x14ac:dyDescent="0.25">
      <c r="B399" s="69"/>
      <c r="D399" s="70"/>
      <c r="E399" s="65"/>
      <c r="F399" s="65"/>
      <c r="G399" s="65"/>
      <c r="H399" s="65"/>
      <c r="I399" s="65"/>
      <c r="J399" s="65"/>
      <c r="K399" s="65"/>
      <c r="L399" s="65"/>
      <c r="M399" s="68"/>
      <c r="N399" s="65"/>
      <c r="O399" s="65"/>
      <c r="P399" s="65"/>
      <c r="Q399" s="65"/>
      <c r="R399" s="65"/>
    </row>
    <row r="400" spans="2:18" ht="15" x14ac:dyDescent="0.25">
      <c r="B400" s="69"/>
      <c r="D400" s="70"/>
      <c r="E400" s="65"/>
      <c r="F400" s="65"/>
      <c r="G400" s="65"/>
      <c r="H400" s="65"/>
      <c r="I400" s="65"/>
      <c r="J400" s="65"/>
      <c r="K400" s="65"/>
      <c r="L400" s="65"/>
      <c r="M400" s="68"/>
      <c r="N400" s="65"/>
      <c r="O400" s="65"/>
      <c r="P400" s="65"/>
      <c r="Q400" s="65"/>
      <c r="R400" s="65"/>
    </row>
    <row r="401" spans="2:18" ht="15" x14ac:dyDescent="0.25">
      <c r="B401" s="69"/>
      <c r="D401" s="70"/>
      <c r="E401" s="65"/>
      <c r="F401" s="65"/>
      <c r="G401" s="65"/>
      <c r="H401" s="65"/>
      <c r="I401" s="65"/>
      <c r="J401" s="65"/>
      <c r="K401" s="65"/>
      <c r="L401" s="65"/>
      <c r="M401" s="68"/>
      <c r="N401" s="65"/>
      <c r="O401" s="65"/>
      <c r="P401" s="65"/>
      <c r="Q401" s="65"/>
      <c r="R401" s="65"/>
    </row>
    <row r="402" spans="2:18" ht="15" x14ac:dyDescent="0.25">
      <c r="B402" s="69"/>
      <c r="D402" s="70"/>
      <c r="E402" s="65"/>
      <c r="F402" s="65"/>
      <c r="G402" s="65"/>
      <c r="H402" s="65"/>
      <c r="I402" s="65"/>
      <c r="J402" s="65"/>
      <c r="K402" s="65"/>
      <c r="L402" s="65"/>
      <c r="M402" s="68"/>
      <c r="N402" s="65"/>
      <c r="O402" s="65"/>
      <c r="P402" s="65"/>
      <c r="Q402" s="65"/>
      <c r="R402" s="65"/>
    </row>
    <row r="403" spans="2:18" ht="15" x14ac:dyDescent="0.25">
      <c r="B403" s="69"/>
      <c r="D403" s="70"/>
      <c r="E403" s="65"/>
      <c r="F403" s="65"/>
      <c r="G403" s="65"/>
      <c r="H403" s="65"/>
      <c r="I403" s="65"/>
      <c r="J403" s="65"/>
      <c r="K403" s="65"/>
      <c r="L403" s="65"/>
      <c r="M403" s="68"/>
      <c r="N403" s="65"/>
      <c r="O403" s="65"/>
      <c r="P403" s="65"/>
      <c r="Q403" s="65"/>
      <c r="R403" s="65"/>
    </row>
    <row r="404" spans="2:18" ht="15" x14ac:dyDescent="0.25">
      <c r="B404" s="69"/>
      <c r="D404" s="70"/>
      <c r="E404" s="65"/>
      <c r="F404" s="65"/>
      <c r="G404" s="65"/>
      <c r="H404" s="65"/>
      <c r="I404" s="65"/>
      <c r="J404" s="65"/>
      <c r="K404" s="65"/>
      <c r="L404" s="65"/>
      <c r="M404" s="68"/>
      <c r="N404" s="65"/>
      <c r="O404" s="65"/>
      <c r="P404" s="65"/>
      <c r="Q404" s="65"/>
      <c r="R404" s="65"/>
    </row>
    <row r="405" spans="2:18" ht="15" x14ac:dyDescent="0.25">
      <c r="B405" s="69"/>
      <c r="D405" s="70"/>
      <c r="E405" s="65"/>
      <c r="F405" s="65"/>
      <c r="G405" s="65"/>
      <c r="H405" s="65"/>
      <c r="I405" s="65"/>
      <c r="J405" s="65"/>
      <c r="K405" s="65"/>
      <c r="L405" s="65"/>
      <c r="M405" s="68"/>
      <c r="N405" s="65"/>
      <c r="O405" s="65"/>
      <c r="P405" s="65"/>
      <c r="Q405" s="65"/>
      <c r="R405" s="65"/>
    </row>
    <row r="406" spans="2:18" ht="15" x14ac:dyDescent="0.25">
      <c r="B406" s="69"/>
      <c r="D406" s="70"/>
      <c r="E406" s="65"/>
      <c r="F406" s="65"/>
      <c r="G406" s="65"/>
      <c r="H406" s="65"/>
      <c r="I406" s="65"/>
      <c r="J406" s="65"/>
      <c r="K406" s="65"/>
      <c r="L406" s="65"/>
      <c r="M406" s="68"/>
      <c r="N406" s="65"/>
      <c r="O406" s="65"/>
      <c r="P406" s="65"/>
      <c r="Q406" s="65"/>
      <c r="R406" s="65"/>
    </row>
    <row r="407" spans="2:18" ht="15" x14ac:dyDescent="0.25">
      <c r="B407" s="69"/>
      <c r="D407" s="70"/>
      <c r="E407" s="65"/>
      <c r="F407" s="65"/>
      <c r="G407" s="65"/>
      <c r="H407" s="65"/>
      <c r="I407" s="65"/>
      <c r="J407" s="65"/>
      <c r="K407" s="65"/>
      <c r="L407" s="65"/>
      <c r="M407" s="68"/>
      <c r="N407" s="65"/>
      <c r="O407" s="65"/>
      <c r="P407" s="65"/>
      <c r="Q407" s="65"/>
      <c r="R407" s="65"/>
    </row>
    <row r="408" spans="2:18" ht="15" x14ac:dyDescent="0.25">
      <c r="B408" s="69"/>
      <c r="D408" s="70"/>
      <c r="E408" s="65"/>
      <c r="F408" s="65"/>
      <c r="G408" s="65"/>
      <c r="H408" s="65"/>
      <c r="I408" s="65"/>
      <c r="J408" s="65"/>
      <c r="K408" s="65"/>
      <c r="L408" s="65"/>
      <c r="M408" s="68"/>
      <c r="N408" s="65"/>
      <c r="O408" s="65"/>
      <c r="P408" s="65"/>
      <c r="Q408" s="65"/>
      <c r="R408" s="65"/>
    </row>
    <row r="409" spans="2:18" ht="15" x14ac:dyDescent="0.25">
      <c r="B409" s="69"/>
      <c r="D409" s="70"/>
      <c r="E409" s="65"/>
      <c r="F409" s="65"/>
      <c r="G409" s="65"/>
      <c r="H409" s="65"/>
      <c r="I409" s="65"/>
      <c r="J409" s="65"/>
      <c r="K409" s="65"/>
      <c r="L409" s="65"/>
      <c r="M409" s="68"/>
      <c r="N409" s="65"/>
      <c r="O409" s="65"/>
      <c r="P409" s="65"/>
      <c r="Q409" s="65"/>
      <c r="R409" s="65"/>
    </row>
    <row r="410" spans="2:18" ht="15" x14ac:dyDescent="0.25">
      <c r="B410" s="69"/>
      <c r="D410" s="70"/>
      <c r="E410" s="65"/>
      <c r="F410" s="65"/>
      <c r="G410" s="65"/>
      <c r="H410" s="65"/>
      <c r="I410" s="65"/>
      <c r="J410" s="65"/>
      <c r="K410" s="65"/>
      <c r="L410" s="65"/>
      <c r="M410" s="68"/>
      <c r="N410" s="65"/>
      <c r="O410" s="65"/>
      <c r="P410" s="65"/>
      <c r="Q410" s="65"/>
      <c r="R410" s="65"/>
    </row>
    <row r="411" spans="2:18" ht="15" x14ac:dyDescent="0.25">
      <c r="B411" s="69"/>
      <c r="D411" s="70"/>
      <c r="E411" s="65"/>
      <c r="F411" s="65"/>
      <c r="G411" s="65"/>
      <c r="H411" s="65"/>
      <c r="I411" s="65"/>
      <c r="J411" s="65"/>
      <c r="K411" s="65"/>
      <c r="L411" s="65"/>
      <c r="M411" s="68"/>
      <c r="N411" s="65"/>
      <c r="O411" s="65"/>
      <c r="P411" s="65"/>
      <c r="Q411" s="65"/>
      <c r="R411" s="65"/>
    </row>
    <row r="412" spans="2:18" ht="15" x14ac:dyDescent="0.25">
      <c r="B412" s="69"/>
      <c r="D412" s="70"/>
      <c r="E412" s="65"/>
      <c r="F412" s="65"/>
      <c r="G412" s="65"/>
      <c r="H412" s="65"/>
      <c r="I412" s="65"/>
      <c r="J412" s="65"/>
      <c r="K412" s="65"/>
      <c r="L412" s="65"/>
      <c r="M412" s="68"/>
      <c r="N412" s="65"/>
      <c r="O412" s="65"/>
      <c r="P412" s="65"/>
      <c r="Q412" s="65"/>
      <c r="R412" s="65"/>
    </row>
    <row r="413" spans="2:18" ht="15" x14ac:dyDescent="0.25">
      <c r="B413" s="69"/>
      <c r="D413" s="70"/>
      <c r="E413" s="65"/>
      <c r="F413" s="65"/>
      <c r="G413" s="65"/>
      <c r="H413" s="65"/>
      <c r="I413" s="65"/>
      <c r="J413" s="65"/>
      <c r="K413" s="65"/>
      <c r="L413" s="65"/>
      <c r="M413" s="68"/>
      <c r="N413" s="65"/>
      <c r="O413" s="65"/>
      <c r="P413" s="65"/>
      <c r="Q413" s="65"/>
      <c r="R413" s="65"/>
    </row>
    <row r="414" spans="2:18" ht="15" x14ac:dyDescent="0.25">
      <c r="B414" s="69"/>
      <c r="D414" s="70"/>
      <c r="E414" s="65"/>
      <c r="F414" s="65"/>
      <c r="G414" s="65"/>
      <c r="H414" s="65"/>
      <c r="I414" s="65"/>
      <c r="J414" s="65"/>
      <c r="K414" s="65"/>
      <c r="L414" s="65"/>
      <c r="M414" s="68"/>
      <c r="N414" s="65"/>
      <c r="O414" s="65"/>
      <c r="P414" s="65"/>
      <c r="Q414" s="65"/>
      <c r="R414" s="65"/>
    </row>
    <row r="415" spans="2:18" ht="15" x14ac:dyDescent="0.25">
      <c r="B415" s="69"/>
      <c r="D415" s="70"/>
      <c r="E415" s="65"/>
      <c r="F415" s="65"/>
      <c r="G415" s="65"/>
      <c r="H415" s="65"/>
      <c r="I415" s="65"/>
      <c r="J415" s="65"/>
      <c r="K415" s="65"/>
      <c r="L415" s="65"/>
      <c r="M415" s="68"/>
      <c r="N415" s="65"/>
      <c r="O415" s="65"/>
      <c r="P415" s="65"/>
      <c r="Q415" s="65"/>
      <c r="R415" s="65"/>
    </row>
    <row r="416" spans="2:18" ht="15" x14ac:dyDescent="0.25">
      <c r="B416" s="69"/>
      <c r="D416" s="70"/>
      <c r="E416" s="65"/>
      <c r="F416" s="65"/>
      <c r="G416" s="65"/>
      <c r="H416" s="65"/>
      <c r="I416" s="65"/>
      <c r="J416" s="65"/>
      <c r="K416" s="65"/>
      <c r="L416" s="65"/>
      <c r="M416" s="68"/>
      <c r="N416" s="65"/>
      <c r="O416" s="65"/>
      <c r="P416" s="65"/>
      <c r="Q416" s="65"/>
      <c r="R416" s="65"/>
    </row>
    <row r="417" spans="2:18" ht="15" x14ac:dyDescent="0.25">
      <c r="B417" s="69"/>
      <c r="D417" s="70"/>
      <c r="E417" s="65"/>
      <c r="F417" s="65"/>
      <c r="G417" s="65"/>
      <c r="H417" s="65"/>
      <c r="I417" s="65"/>
      <c r="J417" s="65"/>
      <c r="K417" s="65"/>
      <c r="L417" s="65"/>
      <c r="M417" s="68"/>
      <c r="N417" s="65"/>
      <c r="O417" s="65"/>
      <c r="P417" s="65"/>
      <c r="Q417" s="65"/>
      <c r="R417" s="65"/>
    </row>
    <row r="418" spans="2:18" ht="15" x14ac:dyDescent="0.25">
      <c r="B418" s="69"/>
      <c r="D418" s="70"/>
      <c r="E418" s="65"/>
      <c r="F418" s="65"/>
      <c r="G418" s="65"/>
      <c r="H418" s="65"/>
      <c r="I418" s="65"/>
      <c r="J418" s="65"/>
      <c r="K418" s="65"/>
      <c r="L418" s="65"/>
      <c r="M418" s="68"/>
      <c r="N418" s="65"/>
      <c r="O418" s="65"/>
      <c r="P418" s="65"/>
      <c r="Q418" s="65"/>
      <c r="R418" s="65"/>
    </row>
    <row r="419" spans="2:18" ht="15" x14ac:dyDescent="0.25">
      <c r="B419" s="69"/>
      <c r="D419" s="70"/>
      <c r="E419" s="65"/>
      <c r="F419" s="65"/>
      <c r="G419" s="65"/>
      <c r="H419" s="65"/>
      <c r="I419" s="65"/>
      <c r="J419" s="65"/>
      <c r="K419" s="65"/>
      <c r="L419" s="65"/>
      <c r="M419" s="68"/>
      <c r="N419" s="65"/>
      <c r="O419" s="65"/>
      <c r="P419" s="65"/>
      <c r="Q419" s="65"/>
      <c r="R419" s="65"/>
    </row>
    <row r="420" spans="2:18" ht="15" x14ac:dyDescent="0.25">
      <c r="B420" s="69"/>
      <c r="D420" s="70"/>
      <c r="E420" s="65"/>
      <c r="F420" s="65"/>
      <c r="G420" s="65"/>
      <c r="H420" s="65"/>
      <c r="I420" s="65"/>
      <c r="J420" s="65"/>
      <c r="K420" s="65"/>
      <c r="L420" s="65"/>
      <c r="M420" s="68"/>
      <c r="N420" s="65"/>
      <c r="O420" s="65"/>
      <c r="P420" s="65"/>
      <c r="Q420" s="65"/>
      <c r="R420" s="65"/>
    </row>
    <row r="421" spans="2:18" ht="15" x14ac:dyDescent="0.25">
      <c r="B421" s="69"/>
      <c r="D421" s="70"/>
      <c r="E421" s="65"/>
      <c r="F421" s="65"/>
      <c r="G421" s="65"/>
      <c r="H421" s="65"/>
      <c r="I421" s="65"/>
      <c r="J421" s="65"/>
      <c r="K421" s="65"/>
      <c r="L421" s="65"/>
      <c r="M421" s="68"/>
      <c r="N421" s="65"/>
      <c r="O421" s="65"/>
      <c r="P421" s="65"/>
      <c r="Q421" s="65"/>
      <c r="R421" s="65"/>
    </row>
    <row r="422" spans="2:18" ht="15" x14ac:dyDescent="0.25">
      <c r="B422" s="69"/>
      <c r="D422" s="70"/>
      <c r="E422" s="65"/>
      <c r="F422" s="65"/>
      <c r="G422" s="65"/>
      <c r="H422" s="65"/>
      <c r="I422" s="65"/>
      <c r="J422" s="65"/>
      <c r="K422" s="65"/>
      <c r="L422" s="65"/>
      <c r="M422" s="68"/>
      <c r="N422" s="65"/>
      <c r="O422" s="65"/>
      <c r="P422" s="65"/>
      <c r="Q422" s="65"/>
      <c r="R422" s="65"/>
    </row>
    <row r="423" spans="2:18" ht="15" x14ac:dyDescent="0.25">
      <c r="B423" s="69"/>
      <c r="D423" s="70"/>
      <c r="E423" s="65"/>
      <c r="F423" s="65"/>
      <c r="G423" s="65"/>
      <c r="H423" s="65"/>
      <c r="I423" s="65"/>
      <c r="J423" s="65"/>
      <c r="K423" s="65"/>
      <c r="L423" s="65"/>
      <c r="M423" s="68"/>
      <c r="N423" s="65"/>
      <c r="O423" s="65"/>
      <c r="P423" s="65"/>
      <c r="Q423" s="65"/>
      <c r="R423" s="65"/>
    </row>
    <row r="424" spans="2:18" ht="15" x14ac:dyDescent="0.25">
      <c r="B424" s="69"/>
      <c r="D424" s="70"/>
      <c r="E424" s="65"/>
      <c r="F424" s="65"/>
      <c r="G424" s="65"/>
      <c r="H424" s="65"/>
      <c r="I424" s="65"/>
      <c r="J424" s="65"/>
      <c r="K424" s="65"/>
      <c r="L424" s="65"/>
      <c r="M424" s="68"/>
      <c r="N424" s="65"/>
      <c r="O424" s="65"/>
      <c r="P424" s="65"/>
      <c r="Q424" s="65"/>
      <c r="R424" s="65"/>
    </row>
    <row r="425" spans="2:18" ht="15" x14ac:dyDescent="0.25">
      <c r="B425" s="69"/>
      <c r="D425" s="70"/>
      <c r="E425" s="65"/>
      <c r="F425" s="65"/>
      <c r="G425" s="65"/>
      <c r="H425" s="65"/>
      <c r="I425" s="65"/>
      <c r="J425" s="65"/>
      <c r="K425" s="65"/>
      <c r="L425" s="65"/>
      <c r="M425" s="68"/>
      <c r="N425" s="65"/>
      <c r="O425" s="65"/>
      <c r="P425" s="65"/>
      <c r="Q425" s="65"/>
      <c r="R425" s="65"/>
    </row>
    <row r="426" spans="2:18" ht="15" x14ac:dyDescent="0.25">
      <c r="B426" s="69"/>
      <c r="D426" s="70"/>
      <c r="E426" s="65"/>
      <c r="F426" s="65"/>
      <c r="G426" s="65"/>
      <c r="H426" s="65"/>
      <c r="I426" s="65"/>
      <c r="J426" s="65"/>
      <c r="K426" s="65"/>
      <c r="L426" s="65"/>
      <c r="M426" s="68"/>
      <c r="N426" s="65"/>
      <c r="O426" s="65"/>
      <c r="P426" s="65"/>
      <c r="Q426" s="65"/>
      <c r="R426" s="65"/>
    </row>
    <row r="427" spans="2:18" ht="15" x14ac:dyDescent="0.25">
      <c r="B427" s="69"/>
      <c r="D427" s="70"/>
      <c r="E427" s="65"/>
      <c r="F427" s="65"/>
      <c r="G427" s="65"/>
      <c r="H427" s="65"/>
      <c r="I427" s="65"/>
      <c r="J427" s="65"/>
      <c r="K427" s="65"/>
      <c r="L427" s="65"/>
      <c r="M427" s="68"/>
      <c r="N427" s="65"/>
      <c r="O427" s="65"/>
      <c r="P427" s="65"/>
      <c r="Q427" s="65"/>
      <c r="R427" s="65"/>
    </row>
    <row r="428" spans="2:18" ht="15" x14ac:dyDescent="0.25">
      <c r="B428" s="69"/>
      <c r="D428" s="70"/>
      <c r="E428" s="65"/>
      <c r="F428" s="65"/>
      <c r="G428" s="65"/>
      <c r="H428" s="65"/>
      <c r="I428" s="65"/>
      <c r="J428" s="65"/>
      <c r="K428" s="65"/>
      <c r="L428" s="65"/>
      <c r="M428" s="68"/>
      <c r="N428" s="65"/>
      <c r="O428" s="65"/>
      <c r="P428" s="65"/>
      <c r="Q428" s="65"/>
      <c r="R428" s="65"/>
    </row>
    <row r="429" spans="2:18" ht="15" x14ac:dyDescent="0.25">
      <c r="B429" s="69"/>
      <c r="D429" s="70"/>
      <c r="E429" s="65"/>
      <c r="F429" s="65"/>
      <c r="G429" s="65"/>
      <c r="H429" s="65"/>
      <c r="I429" s="65"/>
      <c r="J429" s="65"/>
      <c r="K429" s="65"/>
      <c r="L429" s="65"/>
      <c r="M429" s="68"/>
      <c r="N429" s="65"/>
      <c r="O429" s="65"/>
      <c r="P429" s="65"/>
      <c r="Q429" s="65"/>
      <c r="R429" s="65"/>
    </row>
    <row r="430" spans="2:18" ht="15" x14ac:dyDescent="0.25">
      <c r="B430" s="69"/>
      <c r="D430" s="70"/>
      <c r="E430" s="65"/>
      <c r="F430" s="65"/>
      <c r="G430" s="65"/>
      <c r="H430" s="65"/>
      <c r="I430" s="65"/>
      <c r="J430" s="65"/>
      <c r="K430" s="65"/>
      <c r="L430" s="65"/>
      <c r="M430" s="68"/>
      <c r="N430" s="65"/>
      <c r="O430" s="65"/>
      <c r="P430" s="65"/>
      <c r="Q430" s="65"/>
      <c r="R430" s="65"/>
    </row>
    <row r="431" spans="2:18" ht="15" x14ac:dyDescent="0.25">
      <c r="B431" s="69"/>
      <c r="D431" s="70"/>
      <c r="E431" s="65"/>
      <c r="F431" s="65"/>
      <c r="G431" s="65"/>
      <c r="H431" s="65"/>
      <c r="I431" s="65"/>
      <c r="J431" s="65"/>
      <c r="K431" s="65"/>
      <c r="L431" s="65"/>
      <c r="M431" s="68"/>
      <c r="N431" s="65"/>
      <c r="O431" s="65"/>
      <c r="P431" s="65"/>
      <c r="Q431" s="65"/>
      <c r="R431" s="65"/>
    </row>
    <row r="432" spans="2:18" ht="15" x14ac:dyDescent="0.25">
      <c r="B432" s="69"/>
      <c r="D432" s="70"/>
      <c r="E432" s="65"/>
      <c r="F432" s="65"/>
      <c r="G432" s="65"/>
      <c r="H432" s="65"/>
      <c r="I432" s="65"/>
      <c r="J432" s="65"/>
      <c r="K432" s="65"/>
      <c r="L432" s="65"/>
      <c r="M432" s="68"/>
      <c r="N432" s="65"/>
      <c r="O432" s="65"/>
      <c r="P432" s="65"/>
      <c r="Q432" s="65"/>
      <c r="R432" s="65"/>
    </row>
    <row r="433" spans="2:18" ht="15" x14ac:dyDescent="0.25">
      <c r="B433" s="69"/>
      <c r="D433" s="70"/>
      <c r="E433" s="65"/>
      <c r="F433" s="65"/>
      <c r="G433" s="65"/>
      <c r="H433" s="65"/>
      <c r="I433" s="65"/>
      <c r="J433" s="65"/>
      <c r="K433" s="65"/>
      <c r="L433" s="65"/>
      <c r="M433" s="68"/>
      <c r="N433" s="65"/>
      <c r="O433" s="65"/>
      <c r="P433" s="65"/>
      <c r="Q433" s="65"/>
      <c r="R433" s="65"/>
    </row>
    <row r="434" spans="2:18" ht="15" x14ac:dyDescent="0.25">
      <c r="B434" s="69"/>
      <c r="D434" s="70"/>
      <c r="E434" s="65"/>
      <c r="F434" s="65"/>
      <c r="G434" s="65"/>
      <c r="H434" s="65"/>
      <c r="I434" s="65"/>
      <c r="J434" s="65"/>
      <c r="K434" s="65"/>
      <c r="L434" s="65"/>
      <c r="M434" s="68"/>
      <c r="N434" s="65"/>
      <c r="O434" s="65"/>
      <c r="P434" s="65"/>
      <c r="Q434" s="65"/>
      <c r="R434" s="65"/>
    </row>
    <row r="435" spans="2:18" ht="15" x14ac:dyDescent="0.25">
      <c r="B435" s="69"/>
      <c r="D435" s="70"/>
      <c r="E435" s="65"/>
      <c r="F435" s="65"/>
      <c r="G435" s="65"/>
      <c r="H435" s="65"/>
      <c r="I435" s="65"/>
      <c r="J435" s="65"/>
      <c r="K435" s="65"/>
      <c r="L435" s="65"/>
      <c r="M435" s="68"/>
      <c r="N435" s="65"/>
      <c r="O435" s="65"/>
      <c r="P435" s="65"/>
      <c r="Q435" s="65"/>
      <c r="R435" s="65"/>
    </row>
    <row r="436" spans="2:18" ht="15" x14ac:dyDescent="0.25">
      <c r="B436" s="69"/>
      <c r="D436" s="70"/>
      <c r="E436" s="65"/>
      <c r="F436" s="65"/>
      <c r="G436" s="65"/>
      <c r="H436" s="65"/>
      <c r="I436" s="65"/>
      <c r="J436" s="65"/>
      <c r="K436" s="65"/>
      <c r="L436" s="65"/>
      <c r="M436" s="68"/>
      <c r="N436" s="65"/>
      <c r="O436" s="65"/>
      <c r="P436" s="65"/>
      <c r="Q436" s="65"/>
      <c r="R436" s="65"/>
    </row>
    <row r="437" spans="2:18" ht="15" x14ac:dyDescent="0.25">
      <c r="B437" s="69"/>
      <c r="D437" s="70"/>
      <c r="E437" s="65"/>
      <c r="F437" s="65"/>
      <c r="G437" s="65"/>
      <c r="H437" s="65"/>
      <c r="I437" s="65"/>
      <c r="J437" s="65"/>
      <c r="K437" s="65"/>
      <c r="L437" s="65"/>
      <c r="M437" s="68"/>
      <c r="N437" s="65"/>
      <c r="O437" s="65"/>
      <c r="P437" s="65"/>
      <c r="Q437" s="65"/>
      <c r="R437" s="65"/>
    </row>
    <row r="438" spans="2:18" ht="15" x14ac:dyDescent="0.25">
      <c r="B438" s="69"/>
      <c r="D438" s="70"/>
      <c r="E438" s="65"/>
      <c r="F438" s="65"/>
      <c r="G438" s="65"/>
      <c r="H438" s="65"/>
      <c r="I438" s="65"/>
      <c r="J438" s="65"/>
      <c r="K438" s="65"/>
      <c r="L438" s="65"/>
      <c r="M438" s="68"/>
      <c r="N438" s="65"/>
      <c r="O438" s="65"/>
      <c r="P438" s="65"/>
      <c r="Q438" s="65"/>
      <c r="R438" s="65"/>
    </row>
    <row r="439" spans="2:18" ht="15" x14ac:dyDescent="0.25">
      <c r="B439" s="69"/>
      <c r="D439" s="70"/>
      <c r="E439" s="65"/>
      <c r="F439" s="65"/>
      <c r="G439" s="65"/>
      <c r="H439" s="65"/>
      <c r="I439" s="65"/>
      <c r="J439" s="65"/>
      <c r="K439" s="65"/>
      <c r="L439" s="65"/>
      <c r="M439" s="68"/>
      <c r="N439" s="65"/>
      <c r="O439" s="65"/>
      <c r="P439" s="65"/>
      <c r="Q439" s="65"/>
      <c r="R439" s="65"/>
    </row>
    <row r="440" spans="2:18" ht="15" x14ac:dyDescent="0.25">
      <c r="B440" s="69"/>
      <c r="D440" s="70"/>
      <c r="E440" s="65"/>
      <c r="F440" s="65"/>
      <c r="G440" s="65"/>
      <c r="H440" s="65"/>
      <c r="I440" s="65"/>
      <c r="J440" s="65"/>
      <c r="K440" s="65"/>
      <c r="L440" s="65"/>
      <c r="M440" s="68"/>
      <c r="N440" s="65"/>
      <c r="O440" s="65"/>
      <c r="P440" s="65"/>
      <c r="Q440" s="65"/>
      <c r="R440" s="65"/>
    </row>
    <row r="441" spans="2:18" ht="15" x14ac:dyDescent="0.25">
      <c r="B441" s="69"/>
      <c r="D441" s="70"/>
      <c r="E441" s="65"/>
      <c r="F441" s="65"/>
      <c r="G441" s="65"/>
      <c r="H441" s="65"/>
      <c r="I441" s="65"/>
      <c r="J441" s="65"/>
      <c r="K441" s="65"/>
      <c r="L441" s="65"/>
      <c r="M441" s="68"/>
      <c r="N441" s="65"/>
      <c r="O441" s="65"/>
      <c r="P441" s="65"/>
      <c r="Q441" s="65"/>
      <c r="R441" s="65"/>
    </row>
    <row r="442" spans="2:18" ht="15" x14ac:dyDescent="0.25">
      <c r="B442" s="69"/>
      <c r="D442" s="70"/>
      <c r="E442" s="65"/>
      <c r="F442" s="65"/>
      <c r="G442" s="65"/>
      <c r="H442" s="65"/>
      <c r="I442" s="65"/>
      <c r="J442" s="65"/>
      <c r="K442" s="65"/>
      <c r="L442" s="65"/>
      <c r="M442" s="68"/>
      <c r="N442" s="65"/>
      <c r="O442" s="65"/>
      <c r="P442" s="65"/>
      <c r="Q442" s="65"/>
      <c r="R442" s="65"/>
    </row>
    <row r="443" spans="2:18" ht="15" x14ac:dyDescent="0.25">
      <c r="B443" s="69"/>
      <c r="D443" s="70"/>
      <c r="E443" s="65"/>
      <c r="F443" s="65"/>
      <c r="G443" s="65"/>
      <c r="H443" s="65"/>
      <c r="I443" s="65"/>
      <c r="J443" s="65"/>
      <c r="K443" s="65"/>
      <c r="L443" s="65"/>
      <c r="M443" s="68"/>
      <c r="N443" s="65"/>
      <c r="O443" s="65"/>
      <c r="P443" s="65"/>
      <c r="Q443" s="65"/>
      <c r="R443" s="65"/>
    </row>
    <row r="444" spans="2:18" ht="15" x14ac:dyDescent="0.25">
      <c r="B444" s="69"/>
      <c r="D444" s="70"/>
      <c r="E444" s="65"/>
      <c r="F444" s="65"/>
      <c r="G444" s="65"/>
      <c r="H444" s="65"/>
      <c r="I444" s="65"/>
      <c r="J444" s="65"/>
      <c r="K444" s="65"/>
      <c r="L444" s="65"/>
      <c r="M444" s="68"/>
      <c r="N444" s="65"/>
      <c r="O444" s="65"/>
      <c r="P444" s="65"/>
      <c r="Q444" s="65"/>
      <c r="R444" s="65"/>
    </row>
    <row r="445" spans="2:18" ht="15" x14ac:dyDescent="0.25">
      <c r="B445" s="69"/>
      <c r="D445" s="70"/>
      <c r="E445" s="65"/>
      <c r="F445" s="65"/>
      <c r="G445" s="65"/>
      <c r="H445" s="65"/>
      <c r="I445" s="65"/>
      <c r="J445" s="65"/>
      <c r="K445" s="65"/>
      <c r="L445" s="65"/>
      <c r="M445" s="68"/>
      <c r="N445" s="65"/>
      <c r="O445" s="65"/>
      <c r="P445" s="65"/>
      <c r="Q445" s="65"/>
      <c r="R445" s="65"/>
    </row>
    <row r="446" spans="2:18" ht="15" x14ac:dyDescent="0.25">
      <c r="B446" s="69"/>
      <c r="D446" s="70"/>
      <c r="E446" s="65"/>
      <c r="F446" s="65"/>
      <c r="G446" s="65"/>
      <c r="H446" s="65"/>
      <c r="I446" s="65"/>
      <c r="J446" s="65"/>
      <c r="K446" s="65"/>
      <c r="L446" s="65"/>
      <c r="M446" s="68"/>
      <c r="N446" s="65"/>
      <c r="O446" s="65"/>
      <c r="P446" s="65"/>
      <c r="Q446" s="65"/>
      <c r="R446" s="65"/>
    </row>
    <row r="447" spans="2:18" ht="15" x14ac:dyDescent="0.25">
      <c r="B447" s="69"/>
      <c r="D447" s="70"/>
      <c r="E447" s="65"/>
      <c r="F447" s="65"/>
      <c r="G447" s="65"/>
      <c r="H447" s="65"/>
      <c r="I447" s="65"/>
      <c r="J447" s="65"/>
      <c r="K447" s="65"/>
      <c r="L447" s="65"/>
      <c r="M447" s="68"/>
      <c r="N447" s="65"/>
      <c r="O447" s="65"/>
      <c r="P447" s="65"/>
      <c r="Q447" s="65"/>
      <c r="R447" s="65"/>
    </row>
    <row r="448" spans="2:18" ht="15" x14ac:dyDescent="0.25">
      <c r="B448" s="69"/>
      <c r="D448" s="70"/>
      <c r="E448" s="65"/>
      <c r="F448" s="65"/>
      <c r="G448" s="65"/>
      <c r="H448" s="65"/>
      <c r="I448" s="65"/>
      <c r="J448" s="65"/>
      <c r="K448" s="65"/>
      <c r="L448" s="65"/>
      <c r="M448" s="68"/>
      <c r="N448" s="65"/>
      <c r="O448" s="65"/>
      <c r="P448" s="65"/>
      <c r="Q448" s="65"/>
      <c r="R448" s="65"/>
    </row>
    <row r="449" spans="2:18" ht="15" x14ac:dyDescent="0.25">
      <c r="B449" s="69"/>
      <c r="D449" s="70"/>
      <c r="E449" s="65"/>
      <c r="F449" s="65"/>
      <c r="G449" s="65"/>
      <c r="H449" s="65"/>
      <c r="I449" s="65"/>
      <c r="J449" s="65"/>
      <c r="K449" s="65"/>
      <c r="L449" s="65"/>
      <c r="M449" s="68"/>
      <c r="N449" s="65"/>
      <c r="O449" s="65"/>
      <c r="P449" s="65"/>
      <c r="Q449" s="65"/>
      <c r="R449" s="65"/>
    </row>
    <row r="450" spans="2:18" ht="15" x14ac:dyDescent="0.25">
      <c r="B450" s="69"/>
      <c r="D450" s="70"/>
      <c r="E450" s="65"/>
      <c r="F450" s="65"/>
      <c r="G450" s="65"/>
      <c r="H450" s="65"/>
      <c r="I450" s="65"/>
      <c r="J450" s="65"/>
      <c r="K450" s="65"/>
      <c r="L450" s="65"/>
      <c r="M450" s="68"/>
      <c r="N450" s="65"/>
      <c r="O450" s="65"/>
      <c r="P450" s="65"/>
      <c r="Q450" s="65"/>
      <c r="R450" s="65"/>
    </row>
    <row r="451" spans="2:18" ht="15" x14ac:dyDescent="0.25">
      <c r="B451" s="69"/>
      <c r="D451" s="70"/>
      <c r="E451" s="65"/>
      <c r="F451" s="65"/>
      <c r="G451" s="65"/>
      <c r="H451" s="65"/>
      <c r="I451" s="65"/>
      <c r="J451" s="65"/>
      <c r="K451" s="65"/>
      <c r="L451" s="65"/>
      <c r="M451" s="68"/>
      <c r="N451" s="65"/>
      <c r="O451" s="65"/>
      <c r="P451" s="65"/>
      <c r="Q451" s="65"/>
      <c r="R451" s="65"/>
    </row>
    <row r="452" spans="2:18" ht="15" x14ac:dyDescent="0.25">
      <c r="B452" s="69"/>
      <c r="D452" s="70"/>
      <c r="E452" s="65"/>
      <c r="F452" s="65"/>
      <c r="G452" s="65"/>
      <c r="H452" s="65"/>
      <c r="I452" s="65"/>
      <c r="J452" s="65"/>
      <c r="K452" s="65"/>
      <c r="L452" s="65"/>
      <c r="M452" s="68"/>
      <c r="N452" s="65"/>
      <c r="O452" s="65"/>
      <c r="P452" s="65"/>
      <c r="Q452" s="65"/>
      <c r="R452" s="65"/>
    </row>
    <row r="453" spans="2:18" ht="15" x14ac:dyDescent="0.25">
      <c r="B453" s="69"/>
      <c r="D453" s="70"/>
      <c r="E453" s="65"/>
      <c r="F453" s="65"/>
      <c r="G453" s="65"/>
      <c r="H453" s="65"/>
      <c r="I453" s="65"/>
      <c r="J453" s="65"/>
      <c r="K453" s="65"/>
      <c r="L453" s="65"/>
      <c r="M453" s="68"/>
      <c r="N453" s="65"/>
      <c r="O453" s="65"/>
      <c r="P453" s="65"/>
      <c r="Q453" s="65"/>
      <c r="R453" s="65"/>
    </row>
    <row r="454" spans="2:18" ht="15" x14ac:dyDescent="0.25">
      <c r="B454" s="69"/>
      <c r="D454" s="70"/>
      <c r="E454" s="65"/>
      <c r="F454" s="65"/>
      <c r="G454" s="65"/>
      <c r="H454" s="65"/>
      <c r="I454" s="65"/>
      <c r="J454" s="65"/>
      <c r="K454" s="65"/>
      <c r="L454" s="65"/>
      <c r="M454" s="68"/>
      <c r="N454" s="65"/>
      <c r="O454" s="65"/>
      <c r="P454" s="65"/>
      <c r="Q454" s="65"/>
      <c r="R454" s="65"/>
    </row>
    <row r="455" spans="2:18" ht="15" x14ac:dyDescent="0.25">
      <c r="B455" s="69"/>
      <c r="D455" s="70"/>
      <c r="E455" s="65"/>
      <c r="F455" s="65"/>
      <c r="G455" s="65"/>
      <c r="H455" s="65"/>
      <c r="I455" s="65"/>
      <c r="J455" s="65"/>
      <c r="K455" s="65"/>
      <c r="L455" s="65"/>
      <c r="M455" s="68"/>
      <c r="N455" s="65"/>
      <c r="O455" s="65"/>
      <c r="P455" s="65"/>
      <c r="Q455" s="65"/>
      <c r="R455" s="65"/>
    </row>
    <row r="456" spans="2:18" ht="15" x14ac:dyDescent="0.25">
      <c r="B456" s="69"/>
      <c r="D456" s="70"/>
      <c r="E456" s="65"/>
      <c r="F456" s="65"/>
      <c r="G456" s="65"/>
      <c r="H456" s="65"/>
      <c r="I456" s="65"/>
      <c r="J456" s="65"/>
      <c r="K456" s="65"/>
      <c r="L456" s="65"/>
      <c r="M456" s="68"/>
      <c r="N456" s="65"/>
      <c r="O456" s="65"/>
      <c r="P456" s="65"/>
      <c r="Q456" s="65"/>
      <c r="R456" s="65"/>
    </row>
    <row r="457" spans="2:18" ht="15" x14ac:dyDescent="0.25">
      <c r="B457" s="69"/>
      <c r="D457" s="70"/>
      <c r="E457" s="65"/>
      <c r="F457" s="65"/>
      <c r="G457" s="65"/>
      <c r="H457" s="65"/>
      <c r="I457" s="65"/>
      <c r="J457" s="65"/>
      <c r="K457" s="65"/>
      <c r="L457" s="65"/>
      <c r="M457" s="68"/>
      <c r="N457" s="65"/>
      <c r="O457" s="65"/>
      <c r="P457" s="65"/>
      <c r="Q457" s="65"/>
      <c r="R457" s="65"/>
    </row>
    <row r="458" spans="2:18" ht="15" x14ac:dyDescent="0.25">
      <c r="B458" s="69"/>
      <c r="D458" s="70"/>
      <c r="E458" s="65"/>
      <c r="F458" s="65"/>
      <c r="G458" s="65"/>
      <c r="H458" s="65"/>
      <c r="I458" s="65"/>
      <c r="J458" s="65"/>
      <c r="K458" s="65"/>
      <c r="L458" s="65"/>
      <c r="M458" s="68"/>
      <c r="N458" s="65"/>
      <c r="O458" s="65"/>
      <c r="P458" s="65"/>
      <c r="Q458" s="65"/>
      <c r="R458" s="65"/>
    </row>
    <row r="459" spans="2:18" ht="15" x14ac:dyDescent="0.25">
      <c r="B459" s="69"/>
      <c r="D459" s="70"/>
      <c r="E459" s="65"/>
      <c r="F459" s="65"/>
      <c r="G459" s="65"/>
      <c r="H459" s="65"/>
      <c r="I459" s="65"/>
      <c r="J459" s="65"/>
      <c r="K459" s="65"/>
      <c r="L459" s="65"/>
      <c r="M459" s="68"/>
      <c r="N459" s="65"/>
      <c r="O459" s="65"/>
      <c r="P459" s="65"/>
      <c r="Q459" s="65"/>
      <c r="R459" s="65"/>
    </row>
    <row r="460" spans="2:18" ht="15" x14ac:dyDescent="0.25">
      <c r="B460" s="69"/>
      <c r="D460" s="70"/>
      <c r="E460" s="65"/>
      <c r="F460" s="65"/>
      <c r="G460" s="65"/>
      <c r="H460" s="65"/>
      <c r="I460" s="65"/>
      <c r="J460" s="65"/>
      <c r="K460" s="65"/>
      <c r="L460" s="65"/>
      <c r="M460" s="68"/>
      <c r="N460" s="65"/>
      <c r="O460" s="65"/>
      <c r="P460" s="65"/>
      <c r="Q460" s="65"/>
      <c r="R460" s="65"/>
    </row>
    <row r="461" spans="2:18" ht="15" x14ac:dyDescent="0.25">
      <c r="B461" s="69"/>
      <c r="D461" s="70"/>
      <c r="E461" s="65"/>
      <c r="F461" s="65"/>
      <c r="G461" s="65"/>
      <c r="H461" s="65"/>
      <c r="I461" s="65"/>
      <c r="J461" s="65"/>
      <c r="K461" s="65"/>
      <c r="L461" s="65"/>
      <c r="M461" s="68"/>
      <c r="N461" s="65"/>
      <c r="O461" s="65"/>
      <c r="P461" s="65"/>
      <c r="Q461" s="65"/>
      <c r="R461" s="65"/>
    </row>
    <row r="462" spans="2:18" ht="15" x14ac:dyDescent="0.25">
      <c r="B462" s="69"/>
      <c r="D462" s="70"/>
      <c r="E462" s="65"/>
      <c r="F462" s="65"/>
      <c r="G462" s="65"/>
      <c r="H462" s="65"/>
      <c r="I462" s="65"/>
      <c r="J462" s="65"/>
      <c r="K462" s="65"/>
      <c r="L462" s="65"/>
      <c r="M462" s="68"/>
      <c r="N462" s="65"/>
      <c r="O462" s="65"/>
      <c r="P462" s="65"/>
      <c r="Q462" s="65"/>
      <c r="R462" s="65"/>
    </row>
    <row r="463" spans="2:18" ht="15" x14ac:dyDescent="0.25">
      <c r="B463" s="69"/>
      <c r="D463" s="70"/>
      <c r="E463" s="65"/>
      <c r="F463" s="65"/>
      <c r="G463" s="65"/>
      <c r="H463" s="65"/>
      <c r="I463" s="65"/>
      <c r="J463" s="65"/>
      <c r="K463" s="65"/>
      <c r="L463" s="65"/>
      <c r="M463" s="68"/>
      <c r="N463" s="65"/>
      <c r="O463" s="65"/>
      <c r="P463" s="65"/>
      <c r="Q463" s="65"/>
      <c r="R463" s="65"/>
    </row>
    <row r="464" spans="2:18" ht="15" x14ac:dyDescent="0.25">
      <c r="B464" s="69"/>
      <c r="D464" s="70"/>
      <c r="E464" s="65"/>
      <c r="F464" s="65"/>
      <c r="G464" s="65"/>
      <c r="H464" s="65"/>
      <c r="I464" s="65"/>
      <c r="J464" s="65"/>
      <c r="K464" s="65"/>
      <c r="L464" s="65"/>
      <c r="M464" s="68"/>
      <c r="N464" s="65"/>
      <c r="O464" s="65"/>
      <c r="P464" s="65"/>
      <c r="Q464" s="65"/>
      <c r="R464" s="65"/>
    </row>
    <row r="465" spans="2:18" ht="15" x14ac:dyDescent="0.25">
      <c r="B465" s="69"/>
      <c r="D465" s="70"/>
      <c r="E465" s="65"/>
      <c r="F465" s="65"/>
      <c r="G465" s="65"/>
      <c r="H465" s="65"/>
      <c r="I465" s="65"/>
      <c r="J465" s="65"/>
      <c r="K465" s="65"/>
      <c r="L465" s="65"/>
      <c r="M465" s="68"/>
      <c r="N465" s="65"/>
      <c r="O465" s="65"/>
      <c r="P465" s="65"/>
      <c r="Q465" s="65"/>
      <c r="R465" s="65"/>
    </row>
    <row r="466" spans="2:18" ht="15" x14ac:dyDescent="0.25">
      <c r="B466" s="69"/>
      <c r="D466" s="70"/>
      <c r="E466" s="65"/>
      <c r="F466" s="65"/>
      <c r="G466" s="65"/>
      <c r="H466" s="65"/>
      <c r="I466" s="65"/>
      <c r="J466" s="65"/>
      <c r="K466" s="65"/>
      <c r="L466" s="65"/>
      <c r="M466" s="68"/>
      <c r="N466" s="65"/>
      <c r="O466" s="65"/>
      <c r="P466" s="65"/>
      <c r="Q466" s="65"/>
      <c r="R466" s="65"/>
    </row>
    <row r="467" spans="2:18" ht="15" x14ac:dyDescent="0.25">
      <c r="B467" s="69"/>
      <c r="D467" s="70"/>
      <c r="E467" s="65"/>
      <c r="F467" s="65"/>
      <c r="G467" s="65"/>
      <c r="H467" s="65"/>
      <c r="I467" s="65"/>
      <c r="J467" s="65"/>
      <c r="K467" s="65"/>
      <c r="L467" s="65"/>
      <c r="M467" s="68"/>
      <c r="N467" s="65"/>
      <c r="O467" s="65"/>
      <c r="P467" s="65"/>
      <c r="Q467" s="65"/>
      <c r="R467" s="65"/>
    </row>
    <row r="468" spans="2:18" ht="15" x14ac:dyDescent="0.25">
      <c r="B468" s="69"/>
      <c r="D468" s="70"/>
      <c r="E468" s="65"/>
      <c r="F468" s="65"/>
      <c r="G468" s="65"/>
      <c r="H468" s="65"/>
      <c r="I468" s="65"/>
      <c r="J468" s="65"/>
      <c r="K468" s="65"/>
      <c r="L468" s="65"/>
      <c r="M468" s="68"/>
      <c r="N468" s="65"/>
      <c r="O468" s="65"/>
      <c r="P468" s="65"/>
      <c r="Q468" s="65"/>
      <c r="R468" s="65"/>
    </row>
    <row r="469" spans="2:18" ht="15" x14ac:dyDescent="0.25">
      <c r="B469" s="69"/>
      <c r="D469" s="70"/>
      <c r="E469" s="65"/>
      <c r="F469" s="65"/>
      <c r="G469" s="65"/>
      <c r="H469" s="65"/>
      <c r="I469" s="65"/>
      <c r="J469" s="65"/>
      <c r="K469" s="65"/>
      <c r="L469" s="65"/>
      <c r="M469" s="68"/>
      <c r="N469" s="65"/>
      <c r="O469" s="65"/>
      <c r="P469" s="65"/>
      <c r="Q469" s="65"/>
      <c r="R469" s="65"/>
    </row>
    <row r="470" spans="2:18" ht="15" x14ac:dyDescent="0.25">
      <c r="B470" s="69"/>
      <c r="D470" s="70"/>
      <c r="E470" s="65"/>
      <c r="F470" s="65"/>
      <c r="G470" s="65"/>
      <c r="H470" s="65"/>
      <c r="I470" s="65"/>
      <c r="J470" s="65"/>
      <c r="K470" s="65"/>
      <c r="L470" s="65"/>
      <c r="M470" s="68"/>
      <c r="N470" s="65"/>
      <c r="O470" s="65"/>
      <c r="P470" s="65"/>
      <c r="Q470" s="65"/>
      <c r="R470" s="65"/>
    </row>
    <row r="471" spans="2:18" ht="15" x14ac:dyDescent="0.25">
      <c r="B471" s="69"/>
      <c r="D471" s="70"/>
      <c r="E471" s="65"/>
      <c r="F471" s="65"/>
      <c r="G471" s="65"/>
      <c r="H471" s="65"/>
      <c r="I471" s="65"/>
      <c r="J471" s="65"/>
      <c r="K471" s="65"/>
      <c r="L471" s="65"/>
      <c r="M471" s="68"/>
      <c r="N471" s="65"/>
      <c r="O471" s="65"/>
      <c r="P471" s="65"/>
      <c r="Q471" s="65"/>
      <c r="R471" s="65"/>
    </row>
    <row r="472" spans="2:18" ht="15" x14ac:dyDescent="0.25">
      <c r="B472" s="69"/>
      <c r="D472" s="70"/>
      <c r="E472" s="65"/>
      <c r="F472" s="65"/>
      <c r="G472" s="65"/>
      <c r="H472" s="65"/>
      <c r="I472" s="65"/>
      <c r="J472" s="65"/>
      <c r="K472" s="65"/>
      <c r="L472" s="65"/>
      <c r="M472" s="68"/>
      <c r="N472" s="65"/>
      <c r="O472" s="65"/>
      <c r="P472" s="65"/>
      <c r="Q472" s="65"/>
      <c r="R472" s="65"/>
    </row>
    <row r="473" spans="2:18" ht="15" x14ac:dyDescent="0.25">
      <c r="B473" s="69"/>
      <c r="D473" s="70"/>
      <c r="E473" s="65"/>
      <c r="F473" s="65"/>
      <c r="G473" s="65"/>
      <c r="H473" s="65"/>
      <c r="I473" s="65"/>
      <c r="J473" s="65"/>
      <c r="K473" s="65"/>
      <c r="L473" s="65"/>
      <c r="M473" s="68"/>
      <c r="N473" s="65"/>
      <c r="O473" s="65"/>
      <c r="P473" s="65"/>
      <c r="Q473" s="65"/>
      <c r="R473" s="65"/>
    </row>
    <row r="474" spans="2:18" ht="15" x14ac:dyDescent="0.25">
      <c r="B474" s="69"/>
      <c r="D474" s="70"/>
      <c r="E474" s="65"/>
      <c r="F474" s="65"/>
      <c r="G474" s="65"/>
      <c r="H474" s="65"/>
      <c r="I474" s="65"/>
      <c r="J474" s="65"/>
      <c r="K474" s="65"/>
      <c r="L474" s="65"/>
      <c r="M474" s="68"/>
      <c r="N474" s="65"/>
      <c r="O474" s="65"/>
      <c r="P474" s="65"/>
      <c r="Q474" s="65"/>
      <c r="R474" s="65"/>
    </row>
    <row r="475" spans="2:18" ht="15" x14ac:dyDescent="0.25">
      <c r="B475" s="69"/>
      <c r="D475" s="70"/>
      <c r="E475" s="65"/>
      <c r="F475" s="65"/>
      <c r="G475" s="65"/>
      <c r="H475" s="65"/>
      <c r="I475" s="65"/>
      <c r="J475" s="65"/>
      <c r="K475" s="65"/>
      <c r="L475" s="65"/>
      <c r="M475" s="68"/>
      <c r="N475" s="65"/>
      <c r="O475" s="65"/>
      <c r="P475" s="65"/>
      <c r="Q475" s="65"/>
      <c r="R475" s="65"/>
    </row>
    <row r="476" spans="2:18" ht="15" x14ac:dyDescent="0.25">
      <c r="B476" s="69"/>
      <c r="D476" s="70"/>
      <c r="E476" s="65"/>
      <c r="F476" s="65"/>
      <c r="G476" s="65"/>
      <c r="H476" s="65"/>
      <c r="I476" s="65"/>
      <c r="J476" s="65"/>
      <c r="K476" s="65"/>
      <c r="L476" s="65"/>
      <c r="M476" s="68"/>
      <c r="N476" s="65"/>
      <c r="O476" s="65"/>
      <c r="P476" s="65"/>
      <c r="Q476" s="65"/>
      <c r="R476" s="65"/>
    </row>
    <row r="477" spans="2:18" ht="15" x14ac:dyDescent="0.25">
      <c r="B477" s="69"/>
      <c r="D477" s="70"/>
      <c r="E477" s="65"/>
      <c r="F477" s="65"/>
      <c r="G477" s="65"/>
      <c r="H477" s="65"/>
      <c r="I477" s="65"/>
      <c r="J477" s="65"/>
      <c r="K477" s="65"/>
      <c r="L477" s="65"/>
      <c r="M477" s="68"/>
      <c r="N477" s="65"/>
      <c r="O477" s="65"/>
      <c r="P477" s="65"/>
      <c r="Q477" s="65"/>
      <c r="R477" s="65"/>
    </row>
    <row r="478" spans="2:18" ht="15" x14ac:dyDescent="0.25">
      <c r="B478" s="69"/>
      <c r="D478" s="70"/>
      <c r="E478" s="65"/>
      <c r="F478" s="65"/>
      <c r="G478" s="65"/>
      <c r="H478" s="65"/>
      <c r="I478" s="65"/>
      <c r="J478" s="65"/>
      <c r="K478" s="65"/>
      <c r="L478" s="65"/>
      <c r="M478" s="68"/>
      <c r="N478" s="65"/>
      <c r="O478" s="65"/>
      <c r="P478" s="65"/>
      <c r="Q478" s="65"/>
      <c r="R478" s="65"/>
    </row>
    <row r="479" spans="2:18" ht="15" x14ac:dyDescent="0.25">
      <c r="B479" s="69"/>
      <c r="D479" s="70"/>
      <c r="E479" s="65"/>
      <c r="F479" s="65"/>
      <c r="G479" s="65"/>
      <c r="H479" s="65"/>
      <c r="I479" s="65"/>
      <c r="J479" s="65"/>
      <c r="K479" s="65"/>
      <c r="L479" s="65"/>
      <c r="M479" s="68"/>
      <c r="N479" s="65"/>
      <c r="O479" s="65"/>
      <c r="P479" s="65"/>
      <c r="Q479" s="65"/>
      <c r="R479" s="65"/>
    </row>
    <row r="480" spans="2:18" ht="15" x14ac:dyDescent="0.25">
      <c r="B480" s="69"/>
      <c r="D480" s="70"/>
      <c r="E480" s="65"/>
      <c r="F480" s="65"/>
      <c r="G480" s="65"/>
      <c r="H480" s="65"/>
      <c r="I480" s="65"/>
      <c r="J480" s="65"/>
      <c r="K480" s="65"/>
      <c r="L480" s="65"/>
      <c r="M480" s="68"/>
      <c r="N480" s="65"/>
      <c r="O480" s="65"/>
      <c r="P480" s="65"/>
      <c r="Q480" s="65"/>
      <c r="R480" s="65"/>
    </row>
    <row r="481" spans="2:18" ht="15" x14ac:dyDescent="0.25">
      <c r="B481" s="69"/>
      <c r="D481" s="70"/>
      <c r="E481" s="65"/>
      <c r="F481" s="65"/>
      <c r="G481" s="65"/>
      <c r="H481" s="65"/>
      <c r="I481" s="65"/>
      <c r="J481" s="65"/>
      <c r="K481" s="65"/>
      <c r="L481" s="65"/>
      <c r="M481" s="68"/>
      <c r="N481" s="65"/>
      <c r="O481" s="65"/>
      <c r="P481" s="65"/>
      <c r="Q481" s="65"/>
      <c r="R481" s="65"/>
    </row>
    <row r="482" spans="2:18" ht="15" x14ac:dyDescent="0.25">
      <c r="B482" s="69"/>
      <c r="D482" s="70"/>
      <c r="E482" s="65"/>
      <c r="F482" s="65"/>
      <c r="G482" s="65"/>
      <c r="H482" s="65"/>
      <c r="I482" s="65"/>
      <c r="J482" s="65"/>
      <c r="K482" s="65"/>
      <c r="L482" s="65"/>
      <c r="M482" s="68"/>
      <c r="N482" s="65"/>
      <c r="O482" s="65"/>
      <c r="P482" s="65"/>
      <c r="Q482" s="65"/>
      <c r="R482" s="65"/>
    </row>
    <row r="483" spans="2:18" ht="15" x14ac:dyDescent="0.25">
      <c r="B483" s="69"/>
      <c r="D483" s="70"/>
      <c r="E483" s="65"/>
      <c r="F483" s="65"/>
      <c r="G483" s="65"/>
      <c r="H483" s="65"/>
      <c r="I483" s="65"/>
      <c r="J483" s="65"/>
      <c r="K483" s="65"/>
      <c r="L483" s="65"/>
      <c r="M483" s="68"/>
      <c r="N483" s="65"/>
      <c r="O483" s="65"/>
      <c r="P483" s="65"/>
      <c r="Q483" s="65"/>
      <c r="R483" s="65"/>
    </row>
    <row r="484" spans="2:18" ht="15" x14ac:dyDescent="0.25">
      <c r="B484" s="69"/>
      <c r="D484" s="70"/>
      <c r="E484" s="65"/>
      <c r="F484" s="65"/>
      <c r="G484" s="65"/>
      <c r="H484" s="65"/>
      <c r="I484" s="65"/>
      <c r="J484" s="65"/>
      <c r="K484" s="65"/>
      <c r="L484" s="65"/>
      <c r="M484" s="68"/>
      <c r="N484" s="65"/>
      <c r="O484" s="65"/>
      <c r="P484" s="65"/>
      <c r="Q484" s="65"/>
      <c r="R484" s="65"/>
    </row>
    <row r="485" spans="2:18" ht="15" x14ac:dyDescent="0.25">
      <c r="B485" s="69"/>
      <c r="D485" s="70"/>
      <c r="E485" s="65"/>
      <c r="F485" s="65"/>
      <c r="G485" s="65"/>
      <c r="H485" s="65"/>
      <c r="I485" s="65"/>
      <c r="J485" s="65"/>
      <c r="K485" s="65"/>
      <c r="L485" s="65"/>
      <c r="M485" s="68"/>
      <c r="N485" s="65"/>
      <c r="O485" s="65"/>
      <c r="P485" s="65"/>
      <c r="Q485" s="65"/>
      <c r="R485" s="65"/>
    </row>
    <row r="486" spans="2:18" ht="15" x14ac:dyDescent="0.25">
      <c r="B486" s="69"/>
      <c r="D486" s="70"/>
      <c r="E486" s="65"/>
      <c r="F486" s="65"/>
      <c r="G486" s="65"/>
      <c r="H486" s="65"/>
      <c r="I486" s="65"/>
      <c r="J486" s="65"/>
      <c r="K486" s="65"/>
      <c r="L486" s="65"/>
      <c r="M486" s="68"/>
      <c r="N486" s="65"/>
      <c r="O486" s="65"/>
      <c r="P486" s="65"/>
      <c r="Q486" s="65"/>
      <c r="R486" s="65"/>
    </row>
    <row r="487" spans="2:18" ht="15" x14ac:dyDescent="0.25">
      <c r="B487" s="69"/>
      <c r="D487" s="70"/>
      <c r="E487" s="65"/>
      <c r="F487" s="65"/>
      <c r="G487" s="65"/>
      <c r="H487" s="65"/>
      <c r="I487" s="65"/>
      <c r="J487" s="65"/>
      <c r="K487" s="65"/>
      <c r="L487" s="65"/>
      <c r="M487" s="68"/>
      <c r="N487" s="65"/>
      <c r="O487" s="65"/>
      <c r="P487" s="65"/>
      <c r="Q487" s="65"/>
      <c r="R487" s="65"/>
    </row>
    <row r="488" spans="2:18" ht="15" x14ac:dyDescent="0.25">
      <c r="B488" s="69"/>
      <c r="D488" s="70"/>
      <c r="E488" s="65"/>
      <c r="F488" s="65"/>
      <c r="G488" s="65"/>
      <c r="H488" s="65"/>
      <c r="I488" s="65"/>
      <c r="J488" s="65"/>
      <c r="K488" s="65"/>
      <c r="L488" s="65"/>
      <c r="M488" s="68"/>
      <c r="N488" s="65"/>
      <c r="O488" s="65"/>
      <c r="P488" s="65"/>
      <c r="Q488" s="65"/>
      <c r="R488" s="65"/>
    </row>
    <row r="489" spans="2:18" ht="15" x14ac:dyDescent="0.25">
      <c r="B489" s="69"/>
      <c r="D489" s="70"/>
      <c r="E489" s="65"/>
      <c r="F489" s="65"/>
      <c r="G489" s="65"/>
      <c r="H489" s="65"/>
      <c r="I489" s="65"/>
      <c r="J489" s="65"/>
      <c r="K489" s="65"/>
      <c r="L489" s="65"/>
      <c r="M489" s="68"/>
      <c r="N489" s="65"/>
      <c r="O489" s="65"/>
      <c r="P489" s="65"/>
      <c r="Q489" s="65"/>
      <c r="R489" s="65"/>
    </row>
    <row r="490" spans="2:18" ht="15" x14ac:dyDescent="0.25">
      <c r="B490" s="69"/>
      <c r="D490" s="70"/>
      <c r="E490" s="65"/>
      <c r="F490" s="65"/>
      <c r="G490" s="65"/>
      <c r="H490" s="65"/>
      <c r="I490" s="65"/>
      <c r="J490" s="65"/>
      <c r="K490" s="65"/>
      <c r="L490" s="65"/>
      <c r="M490" s="68"/>
      <c r="N490" s="65"/>
      <c r="O490" s="65"/>
      <c r="P490" s="65"/>
      <c r="Q490" s="65"/>
      <c r="R490" s="65"/>
    </row>
    <row r="491" spans="2:18" ht="15" x14ac:dyDescent="0.25">
      <c r="B491" s="69"/>
      <c r="D491" s="70"/>
      <c r="E491" s="65"/>
      <c r="F491" s="65"/>
      <c r="G491" s="65"/>
      <c r="H491" s="65"/>
      <c r="I491" s="65"/>
      <c r="J491" s="65"/>
      <c r="K491" s="65"/>
      <c r="L491" s="65"/>
      <c r="M491" s="68"/>
      <c r="N491" s="65"/>
      <c r="O491" s="65"/>
      <c r="P491" s="65"/>
      <c r="Q491" s="65"/>
      <c r="R491" s="65"/>
    </row>
    <row r="492" spans="2:18" ht="15" x14ac:dyDescent="0.25">
      <c r="B492" s="69"/>
      <c r="D492" s="70"/>
      <c r="E492" s="65"/>
      <c r="F492" s="65"/>
      <c r="G492" s="65"/>
      <c r="H492" s="65"/>
      <c r="I492" s="65"/>
      <c r="J492" s="65"/>
      <c r="K492" s="65"/>
      <c r="L492" s="65"/>
      <c r="M492" s="68"/>
      <c r="N492" s="65"/>
      <c r="O492" s="65"/>
      <c r="P492" s="65"/>
      <c r="Q492" s="65"/>
      <c r="R492" s="65"/>
    </row>
    <row r="493" spans="2:18" ht="15" x14ac:dyDescent="0.25">
      <c r="B493" s="69"/>
      <c r="D493" s="70"/>
      <c r="E493" s="65"/>
      <c r="F493" s="65"/>
      <c r="G493" s="65"/>
      <c r="H493" s="65"/>
      <c r="I493" s="65"/>
      <c r="J493" s="65"/>
      <c r="K493" s="65"/>
      <c r="L493" s="65"/>
      <c r="M493" s="68"/>
      <c r="N493" s="65"/>
      <c r="O493" s="65"/>
      <c r="P493" s="65"/>
      <c r="Q493" s="65"/>
      <c r="R493" s="65"/>
    </row>
    <row r="494" spans="2:18" ht="15" x14ac:dyDescent="0.25">
      <c r="B494" s="69"/>
      <c r="D494" s="70"/>
      <c r="E494" s="65"/>
      <c r="F494" s="65"/>
      <c r="G494" s="65"/>
      <c r="H494" s="65"/>
      <c r="I494" s="65"/>
      <c r="J494" s="65"/>
      <c r="K494" s="65"/>
      <c r="L494" s="65"/>
      <c r="M494" s="68"/>
      <c r="N494" s="65"/>
      <c r="O494" s="65"/>
      <c r="P494" s="65"/>
      <c r="Q494" s="65"/>
      <c r="R494" s="65"/>
    </row>
    <row r="495" spans="2:18" ht="15" x14ac:dyDescent="0.25">
      <c r="B495" s="69"/>
      <c r="D495" s="70"/>
      <c r="E495" s="65"/>
      <c r="F495" s="65"/>
      <c r="G495" s="65"/>
      <c r="H495" s="65"/>
      <c r="I495" s="65"/>
      <c r="J495" s="65"/>
      <c r="K495" s="65"/>
      <c r="L495" s="65"/>
      <c r="M495" s="68"/>
      <c r="N495" s="65"/>
      <c r="O495" s="65"/>
      <c r="P495" s="65"/>
      <c r="Q495" s="65"/>
      <c r="R495" s="65"/>
    </row>
    <row r="496" spans="2:18" ht="15" x14ac:dyDescent="0.25">
      <c r="B496" s="69"/>
      <c r="D496" s="70"/>
      <c r="E496" s="65"/>
      <c r="F496" s="65"/>
      <c r="G496" s="65"/>
      <c r="H496" s="65"/>
      <c r="I496" s="65"/>
      <c r="J496" s="65"/>
      <c r="K496" s="65"/>
      <c r="L496" s="65"/>
      <c r="M496" s="68"/>
      <c r="N496" s="65"/>
      <c r="O496" s="65"/>
      <c r="P496" s="65"/>
      <c r="Q496" s="65"/>
      <c r="R496" s="65"/>
    </row>
    <row r="497" spans="2:18" ht="15" x14ac:dyDescent="0.25">
      <c r="B497" s="69"/>
      <c r="D497" s="70"/>
      <c r="E497" s="65"/>
      <c r="F497" s="65"/>
      <c r="G497" s="65"/>
      <c r="H497" s="65"/>
      <c r="I497" s="65"/>
      <c r="J497" s="65"/>
      <c r="K497" s="65"/>
      <c r="L497" s="65"/>
      <c r="M497" s="68"/>
      <c r="N497" s="65"/>
      <c r="O497" s="65"/>
      <c r="P497" s="65"/>
      <c r="Q497" s="65"/>
      <c r="R497" s="65"/>
    </row>
    <row r="498" spans="2:18" ht="15" x14ac:dyDescent="0.25">
      <c r="B498" s="69"/>
      <c r="D498" s="70"/>
      <c r="E498" s="65"/>
      <c r="F498" s="65"/>
      <c r="G498" s="65"/>
      <c r="H498" s="65"/>
      <c r="I498" s="65"/>
      <c r="J498" s="65"/>
      <c r="K498" s="65"/>
      <c r="L498" s="65"/>
      <c r="M498" s="68"/>
      <c r="N498" s="65"/>
      <c r="O498" s="65"/>
      <c r="P498" s="65"/>
      <c r="Q498" s="65"/>
      <c r="R498" s="65"/>
    </row>
    <row r="499" spans="2:18" ht="15" x14ac:dyDescent="0.25">
      <c r="B499" s="69"/>
      <c r="D499" s="70"/>
      <c r="E499" s="65"/>
      <c r="F499" s="65"/>
      <c r="G499" s="65"/>
      <c r="H499" s="65"/>
      <c r="I499" s="65"/>
      <c r="J499" s="65"/>
      <c r="K499" s="65"/>
      <c r="L499" s="65"/>
      <c r="M499" s="68"/>
      <c r="N499" s="65"/>
      <c r="O499" s="65"/>
      <c r="P499" s="65"/>
      <c r="Q499" s="65"/>
      <c r="R499" s="65"/>
    </row>
    <row r="500" spans="2:18" ht="15" x14ac:dyDescent="0.25">
      <c r="B500" s="69"/>
      <c r="D500" s="70"/>
      <c r="E500" s="65"/>
      <c r="F500" s="65"/>
      <c r="G500" s="65"/>
      <c r="H500" s="65"/>
      <c r="I500" s="65"/>
      <c r="J500" s="65"/>
      <c r="K500" s="65"/>
      <c r="L500" s="65"/>
      <c r="M500" s="68"/>
      <c r="N500" s="65"/>
      <c r="O500" s="65"/>
      <c r="P500" s="65"/>
      <c r="Q500" s="65"/>
      <c r="R500" s="65"/>
    </row>
    <row r="501" spans="2:18" ht="15" x14ac:dyDescent="0.25">
      <c r="B501" s="69"/>
      <c r="D501" s="70"/>
      <c r="E501" s="65"/>
      <c r="F501" s="65"/>
      <c r="G501" s="65"/>
      <c r="H501" s="65"/>
      <c r="I501" s="65"/>
      <c r="J501" s="65"/>
      <c r="K501" s="65"/>
      <c r="L501" s="65"/>
      <c r="M501" s="68"/>
      <c r="N501" s="65"/>
      <c r="O501" s="65"/>
      <c r="P501" s="65"/>
      <c r="Q501" s="65"/>
      <c r="R501" s="65"/>
    </row>
    <row r="502" spans="2:18" ht="15" x14ac:dyDescent="0.25">
      <c r="B502" s="69"/>
      <c r="D502" s="70"/>
      <c r="E502" s="65"/>
      <c r="F502" s="65"/>
      <c r="G502" s="65"/>
      <c r="H502" s="65"/>
      <c r="I502" s="65"/>
      <c r="J502" s="65"/>
      <c r="K502" s="65"/>
      <c r="L502" s="65"/>
      <c r="M502" s="68"/>
      <c r="N502" s="65"/>
      <c r="O502" s="65"/>
      <c r="P502" s="65"/>
      <c r="Q502" s="65"/>
      <c r="R502" s="65"/>
    </row>
    <row r="503" spans="2:18" ht="15" x14ac:dyDescent="0.25">
      <c r="B503" s="69"/>
      <c r="D503" s="70"/>
      <c r="E503" s="65"/>
      <c r="F503" s="65"/>
      <c r="G503" s="65"/>
      <c r="H503" s="65"/>
      <c r="I503" s="65"/>
      <c r="J503" s="65"/>
      <c r="K503" s="65"/>
      <c r="L503" s="65"/>
      <c r="M503" s="68"/>
      <c r="N503" s="65"/>
      <c r="O503" s="65"/>
      <c r="P503" s="65"/>
      <c r="Q503" s="65"/>
      <c r="R503" s="65"/>
    </row>
    <row r="504" spans="2:18" ht="15" x14ac:dyDescent="0.25">
      <c r="B504" s="69"/>
      <c r="D504" s="70"/>
      <c r="E504" s="65"/>
      <c r="F504" s="65"/>
      <c r="G504" s="65"/>
      <c r="H504" s="65"/>
      <c r="I504" s="65"/>
      <c r="J504" s="65"/>
      <c r="K504" s="65"/>
      <c r="L504" s="65"/>
      <c r="M504" s="68"/>
      <c r="N504" s="65"/>
      <c r="O504" s="65"/>
      <c r="P504" s="65"/>
      <c r="Q504" s="65"/>
      <c r="R504" s="65"/>
    </row>
    <row r="505" spans="2:18" ht="15" x14ac:dyDescent="0.25">
      <c r="B505" s="69"/>
      <c r="D505" s="70"/>
      <c r="E505" s="65"/>
      <c r="F505" s="65"/>
      <c r="G505" s="65"/>
      <c r="H505" s="65"/>
      <c r="I505" s="65"/>
      <c r="J505" s="65"/>
      <c r="K505" s="65"/>
      <c r="L505" s="65"/>
      <c r="M505" s="68"/>
      <c r="N505" s="65"/>
      <c r="O505" s="65"/>
      <c r="P505" s="65"/>
      <c r="Q505" s="65"/>
      <c r="R505" s="65"/>
    </row>
    <row r="506" spans="2:18" ht="15" x14ac:dyDescent="0.25">
      <c r="B506" s="69"/>
      <c r="D506" s="70"/>
      <c r="E506" s="65"/>
      <c r="F506" s="65"/>
      <c r="G506" s="65"/>
      <c r="H506" s="65"/>
      <c r="I506" s="65"/>
      <c r="J506" s="65"/>
      <c r="K506" s="65"/>
      <c r="L506" s="65"/>
      <c r="M506" s="68"/>
      <c r="N506" s="65"/>
      <c r="O506" s="65"/>
      <c r="P506" s="65"/>
      <c r="Q506" s="65"/>
      <c r="R506" s="65"/>
    </row>
    <row r="507" spans="2:18" ht="15" x14ac:dyDescent="0.25">
      <c r="B507" s="69"/>
      <c r="D507" s="70"/>
      <c r="E507" s="65"/>
      <c r="F507" s="65"/>
      <c r="G507" s="65"/>
      <c r="H507" s="65"/>
      <c r="I507" s="65"/>
      <c r="J507" s="65"/>
      <c r="K507" s="65"/>
      <c r="L507" s="65"/>
      <c r="M507" s="68"/>
      <c r="N507" s="65"/>
      <c r="O507" s="65"/>
      <c r="P507" s="65"/>
      <c r="Q507" s="65"/>
      <c r="R507" s="65"/>
    </row>
    <row r="508" spans="2:18" ht="15" x14ac:dyDescent="0.25">
      <c r="B508" s="69"/>
      <c r="D508" s="70"/>
      <c r="E508" s="65"/>
      <c r="F508" s="65"/>
      <c r="G508" s="65"/>
      <c r="H508" s="65"/>
      <c r="I508" s="65"/>
      <c r="J508" s="65"/>
      <c r="K508" s="65"/>
      <c r="L508" s="65"/>
      <c r="M508" s="68"/>
      <c r="N508" s="65"/>
      <c r="O508" s="65"/>
      <c r="P508" s="65"/>
      <c r="Q508" s="65"/>
      <c r="R508" s="65"/>
    </row>
    <row r="509" spans="2:18" ht="15" x14ac:dyDescent="0.25">
      <c r="B509" s="69"/>
      <c r="D509" s="70"/>
      <c r="E509" s="65"/>
      <c r="F509" s="65"/>
      <c r="G509" s="65"/>
      <c r="H509" s="65"/>
      <c r="I509" s="65"/>
      <c r="J509" s="65"/>
      <c r="K509" s="65"/>
      <c r="L509" s="65"/>
      <c r="M509" s="68"/>
      <c r="N509" s="65"/>
      <c r="O509" s="65"/>
      <c r="P509" s="65"/>
      <c r="Q509" s="65"/>
      <c r="R509" s="65"/>
    </row>
    <row r="510" spans="2:18" ht="15" x14ac:dyDescent="0.25">
      <c r="B510" s="69"/>
      <c r="D510" s="70"/>
      <c r="E510" s="65"/>
      <c r="F510" s="65"/>
      <c r="G510" s="65"/>
      <c r="H510" s="65"/>
      <c r="I510" s="65"/>
      <c r="J510" s="65"/>
      <c r="K510" s="65"/>
      <c r="L510" s="65"/>
      <c r="M510" s="68"/>
      <c r="N510" s="65"/>
      <c r="O510" s="65"/>
      <c r="P510" s="65"/>
      <c r="Q510" s="65"/>
      <c r="R510" s="65"/>
    </row>
    <row r="511" spans="2:18" ht="15" x14ac:dyDescent="0.25">
      <c r="B511" s="69"/>
      <c r="D511" s="70"/>
      <c r="E511" s="65"/>
      <c r="F511" s="65"/>
      <c r="G511" s="65"/>
      <c r="H511" s="65"/>
      <c r="I511" s="65"/>
      <c r="J511" s="65"/>
      <c r="K511" s="65"/>
      <c r="L511" s="65"/>
      <c r="M511" s="68"/>
      <c r="N511" s="65"/>
      <c r="O511" s="65"/>
      <c r="P511" s="65"/>
      <c r="Q511" s="65"/>
      <c r="R511" s="65"/>
    </row>
    <row r="512" spans="2:18" ht="15" x14ac:dyDescent="0.25">
      <c r="B512" s="69"/>
      <c r="D512" s="70"/>
      <c r="E512" s="65"/>
      <c r="F512" s="65"/>
      <c r="G512" s="65"/>
      <c r="H512" s="65"/>
      <c r="I512" s="65"/>
      <c r="J512" s="65"/>
      <c r="K512" s="65"/>
      <c r="L512" s="65"/>
      <c r="M512" s="68"/>
      <c r="N512" s="65"/>
      <c r="O512" s="65"/>
      <c r="P512" s="65"/>
      <c r="Q512" s="65"/>
      <c r="R512" s="65"/>
    </row>
    <row r="513" spans="2:18" ht="15" x14ac:dyDescent="0.25">
      <c r="B513" s="69"/>
      <c r="D513" s="70"/>
      <c r="E513" s="65"/>
      <c r="F513" s="65"/>
      <c r="G513" s="65"/>
      <c r="H513" s="65"/>
      <c r="I513" s="65"/>
      <c r="J513" s="65"/>
      <c r="K513" s="65"/>
      <c r="L513" s="65"/>
      <c r="M513" s="68"/>
      <c r="N513" s="65"/>
      <c r="O513" s="65"/>
      <c r="P513" s="65"/>
      <c r="Q513" s="65"/>
      <c r="R513" s="65"/>
    </row>
    <row r="514" spans="2:18" ht="15" x14ac:dyDescent="0.25">
      <c r="B514" s="69"/>
      <c r="D514" s="70"/>
      <c r="E514" s="65"/>
      <c r="F514" s="65"/>
      <c r="G514" s="65"/>
      <c r="H514" s="65"/>
      <c r="I514" s="65"/>
      <c r="J514" s="65"/>
      <c r="K514" s="65"/>
      <c r="L514" s="65"/>
      <c r="M514" s="68"/>
      <c r="N514" s="65"/>
      <c r="O514" s="65"/>
      <c r="P514" s="65"/>
      <c r="Q514" s="65"/>
      <c r="R514" s="65"/>
    </row>
    <row r="515" spans="2:18" ht="15" x14ac:dyDescent="0.25">
      <c r="B515" s="69"/>
      <c r="D515" s="70"/>
      <c r="E515" s="65"/>
      <c r="F515" s="65"/>
      <c r="G515" s="65"/>
      <c r="H515" s="65"/>
      <c r="I515" s="65"/>
      <c r="J515" s="65"/>
      <c r="K515" s="65"/>
      <c r="L515" s="65"/>
      <c r="M515" s="68"/>
      <c r="N515" s="65"/>
      <c r="O515" s="65"/>
      <c r="P515" s="65"/>
      <c r="Q515" s="65"/>
      <c r="R515" s="65"/>
    </row>
    <row r="516" spans="2:18" ht="15" x14ac:dyDescent="0.25">
      <c r="B516" s="69"/>
      <c r="D516" s="70"/>
      <c r="E516" s="65"/>
      <c r="F516" s="65"/>
      <c r="G516" s="65"/>
      <c r="H516" s="65"/>
      <c r="I516" s="65"/>
      <c r="J516" s="65"/>
      <c r="K516" s="65"/>
      <c r="L516" s="65"/>
      <c r="M516" s="68"/>
      <c r="N516" s="65"/>
      <c r="O516" s="65"/>
      <c r="P516" s="65"/>
      <c r="Q516" s="65"/>
      <c r="R516" s="65"/>
    </row>
    <row r="517" spans="2:18" ht="15" x14ac:dyDescent="0.25">
      <c r="B517" s="69"/>
      <c r="D517" s="70"/>
      <c r="E517" s="65"/>
      <c r="F517" s="65"/>
      <c r="G517" s="65"/>
      <c r="H517" s="65"/>
      <c r="I517" s="65"/>
      <c r="J517" s="65"/>
      <c r="K517" s="65"/>
      <c r="L517" s="65"/>
      <c r="M517" s="68"/>
      <c r="N517" s="65"/>
      <c r="O517" s="65"/>
      <c r="P517" s="65"/>
      <c r="Q517" s="65"/>
      <c r="R517" s="65"/>
    </row>
    <row r="518" spans="2:18" ht="15" x14ac:dyDescent="0.25">
      <c r="B518" s="69"/>
      <c r="D518" s="70"/>
      <c r="E518" s="65"/>
      <c r="F518" s="65"/>
      <c r="G518" s="65"/>
      <c r="H518" s="65"/>
      <c r="I518" s="65"/>
      <c r="J518" s="65"/>
      <c r="K518" s="65"/>
      <c r="L518" s="65"/>
      <c r="M518" s="68"/>
      <c r="N518" s="65"/>
      <c r="O518" s="65"/>
      <c r="P518" s="65"/>
      <c r="Q518" s="65"/>
      <c r="R518" s="65"/>
    </row>
    <row r="519" spans="2:18" ht="15" x14ac:dyDescent="0.25">
      <c r="B519" s="69"/>
      <c r="D519" s="70"/>
      <c r="E519" s="65"/>
      <c r="F519" s="65"/>
      <c r="G519" s="65"/>
      <c r="H519" s="65"/>
      <c r="I519" s="65"/>
      <c r="J519" s="65"/>
      <c r="K519" s="65"/>
      <c r="L519" s="65"/>
      <c r="M519" s="68"/>
      <c r="N519" s="65"/>
      <c r="O519" s="65"/>
      <c r="P519" s="65"/>
      <c r="Q519" s="65"/>
      <c r="R519" s="65"/>
    </row>
    <row r="520" spans="2:18" ht="15" x14ac:dyDescent="0.25">
      <c r="B520" s="69"/>
      <c r="D520" s="70"/>
      <c r="E520" s="65"/>
      <c r="F520" s="65"/>
      <c r="G520" s="65"/>
      <c r="H520" s="65"/>
      <c r="I520" s="65"/>
      <c r="J520" s="65"/>
      <c r="K520" s="65"/>
      <c r="L520" s="65"/>
      <c r="M520" s="68"/>
      <c r="N520" s="65"/>
      <c r="O520" s="65"/>
      <c r="P520" s="65"/>
      <c r="Q520" s="65"/>
      <c r="R520" s="65"/>
    </row>
    <row r="521" spans="2:18" ht="15" x14ac:dyDescent="0.25">
      <c r="B521" s="69"/>
      <c r="D521" s="70"/>
      <c r="E521" s="65"/>
      <c r="F521" s="65"/>
      <c r="G521" s="65"/>
      <c r="H521" s="65"/>
      <c r="I521" s="65"/>
      <c r="J521" s="65"/>
      <c r="K521" s="65"/>
      <c r="L521" s="65"/>
      <c r="M521" s="68"/>
      <c r="N521" s="65"/>
      <c r="O521" s="65"/>
      <c r="P521" s="65"/>
      <c r="Q521" s="65"/>
      <c r="R521" s="65"/>
    </row>
    <row r="522" spans="2:18" ht="15" x14ac:dyDescent="0.25">
      <c r="B522" s="69"/>
      <c r="D522" s="70"/>
      <c r="E522" s="65"/>
      <c r="F522" s="65"/>
      <c r="G522" s="65"/>
      <c r="H522" s="65"/>
      <c r="I522" s="65"/>
      <c r="J522" s="65"/>
      <c r="K522" s="65"/>
      <c r="L522" s="65"/>
      <c r="M522" s="68"/>
      <c r="N522" s="65"/>
      <c r="O522" s="65"/>
      <c r="P522" s="65"/>
      <c r="Q522" s="65"/>
      <c r="R522" s="65"/>
    </row>
    <row r="523" spans="2:18" ht="15" x14ac:dyDescent="0.25">
      <c r="B523" s="69"/>
      <c r="D523" s="70"/>
      <c r="E523" s="65"/>
      <c r="F523" s="65"/>
      <c r="G523" s="65"/>
      <c r="H523" s="65"/>
      <c r="I523" s="65"/>
      <c r="J523" s="65"/>
      <c r="K523" s="65"/>
      <c r="L523" s="65"/>
      <c r="M523" s="68"/>
      <c r="N523" s="65"/>
      <c r="O523" s="65"/>
      <c r="P523" s="65"/>
      <c r="Q523" s="65"/>
      <c r="R523" s="65"/>
    </row>
    <row r="524" spans="2:18" ht="15" x14ac:dyDescent="0.25">
      <c r="B524" s="69"/>
      <c r="D524" s="70"/>
      <c r="E524" s="65"/>
      <c r="F524" s="65"/>
      <c r="G524" s="65"/>
      <c r="H524" s="65"/>
      <c r="I524" s="65"/>
      <c r="J524" s="65"/>
      <c r="K524" s="65"/>
      <c r="L524" s="65"/>
      <c r="M524" s="68"/>
      <c r="N524" s="65"/>
      <c r="O524" s="65"/>
      <c r="P524" s="65"/>
      <c r="Q524" s="65"/>
      <c r="R524" s="65"/>
    </row>
    <row r="525" spans="2:18" ht="15" x14ac:dyDescent="0.25">
      <c r="B525" s="69"/>
      <c r="D525" s="70"/>
      <c r="E525" s="65"/>
      <c r="F525" s="65"/>
      <c r="G525" s="65"/>
      <c r="H525" s="65"/>
      <c r="I525" s="65"/>
      <c r="J525" s="65"/>
      <c r="K525" s="65"/>
      <c r="L525" s="65"/>
      <c r="M525" s="68"/>
      <c r="N525" s="65"/>
      <c r="O525" s="65"/>
      <c r="P525" s="65"/>
      <c r="Q525" s="65"/>
      <c r="R525" s="65"/>
    </row>
    <row r="526" spans="2:18" ht="15" x14ac:dyDescent="0.25">
      <c r="B526" s="69"/>
      <c r="D526" s="70"/>
      <c r="E526" s="65"/>
      <c r="F526" s="65"/>
      <c r="G526" s="65"/>
      <c r="H526" s="65"/>
      <c r="I526" s="65"/>
      <c r="J526" s="65"/>
      <c r="K526" s="65"/>
      <c r="L526" s="65"/>
      <c r="M526" s="68"/>
      <c r="N526" s="65"/>
      <c r="O526" s="65"/>
      <c r="P526" s="65"/>
      <c r="Q526" s="65"/>
      <c r="R526" s="65"/>
    </row>
    <row r="527" spans="2:18" ht="15" x14ac:dyDescent="0.25">
      <c r="B527" s="69"/>
      <c r="D527" s="70"/>
      <c r="E527" s="65"/>
      <c r="F527" s="65"/>
      <c r="G527" s="65"/>
      <c r="H527" s="65"/>
      <c r="I527" s="65"/>
      <c r="J527" s="65"/>
      <c r="K527" s="65"/>
      <c r="L527" s="65"/>
      <c r="M527" s="68"/>
      <c r="N527" s="65"/>
      <c r="O527" s="65"/>
      <c r="P527" s="65"/>
      <c r="Q527" s="65"/>
      <c r="R527" s="65"/>
    </row>
    <row r="528" spans="2:18" ht="15" x14ac:dyDescent="0.25">
      <c r="B528" s="69"/>
      <c r="D528" s="70"/>
      <c r="E528" s="65"/>
      <c r="F528" s="65"/>
      <c r="G528" s="65"/>
      <c r="H528" s="65"/>
      <c r="I528" s="65"/>
      <c r="J528" s="65"/>
      <c r="K528" s="65"/>
      <c r="L528" s="65"/>
      <c r="M528" s="68"/>
      <c r="N528" s="65"/>
      <c r="O528" s="65"/>
      <c r="P528" s="65"/>
      <c r="Q528" s="65"/>
      <c r="R528" s="65"/>
    </row>
    <row r="529" spans="2:18" ht="15" x14ac:dyDescent="0.25">
      <c r="B529" s="69"/>
      <c r="D529" s="70"/>
      <c r="E529" s="65"/>
      <c r="F529" s="65"/>
      <c r="G529" s="65"/>
      <c r="H529" s="65"/>
      <c r="I529" s="65"/>
      <c r="J529" s="65"/>
      <c r="K529" s="65"/>
      <c r="L529" s="65"/>
      <c r="M529" s="68"/>
      <c r="N529" s="65"/>
      <c r="O529" s="65"/>
      <c r="P529" s="65"/>
      <c r="Q529" s="65"/>
      <c r="R529" s="65"/>
    </row>
    <row r="530" spans="2:18" ht="15" x14ac:dyDescent="0.25">
      <c r="B530" s="69"/>
      <c r="D530" s="70"/>
      <c r="E530" s="65"/>
      <c r="F530" s="65"/>
      <c r="G530" s="65"/>
      <c r="H530" s="65"/>
      <c r="I530" s="65"/>
      <c r="J530" s="65"/>
      <c r="K530" s="65"/>
      <c r="L530" s="65"/>
      <c r="M530" s="68"/>
      <c r="N530" s="65"/>
      <c r="O530" s="65"/>
      <c r="P530" s="65"/>
      <c r="Q530" s="65"/>
      <c r="R530" s="65"/>
    </row>
    <row r="531" spans="2:18" ht="15" x14ac:dyDescent="0.25">
      <c r="B531" s="69"/>
      <c r="D531" s="70"/>
      <c r="E531" s="65"/>
      <c r="F531" s="65"/>
      <c r="G531" s="65"/>
      <c r="H531" s="65"/>
      <c r="I531" s="65"/>
      <c r="J531" s="65"/>
      <c r="K531" s="65"/>
      <c r="L531" s="65"/>
      <c r="M531" s="68"/>
      <c r="N531" s="65"/>
      <c r="O531" s="65"/>
      <c r="P531" s="65"/>
      <c r="Q531" s="65"/>
      <c r="R531" s="65"/>
    </row>
    <row r="532" spans="2:18" ht="15" x14ac:dyDescent="0.25">
      <c r="B532" s="69"/>
      <c r="D532" s="70"/>
      <c r="E532" s="65"/>
      <c r="F532" s="65"/>
      <c r="G532" s="65"/>
      <c r="H532" s="65"/>
      <c r="I532" s="65"/>
      <c r="J532" s="65"/>
      <c r="K532" s="65"/>
      <c r="L532" s="65"/>
      <c r="M532" s="68"/>
      <c r="N532" s="65"/>
      <c r="O532" s="65"/>
      <c r="P532" s="65"/>
      <c r="Q532" s="65"/>
      <c r="R532" s="65"/>
    </row>
    <row r="533" spans="2:18" ht="15" x14ac:dyDescent="0.25">
      <c r="B533" s="69"/>
      <c r="D533" s="70"/>
      <c r="E533" s="65"/>
      <c r="F533" s="65"/>
      <c r="G533" s="65"/>
      <c r="H533" s="65"/>
      <c r="I533" s="65"/>
      <c r="J533" s="65"/>
      <c r="K533" s="65"/>
      <c r="L533" s="65"/>
      <c r="M533" s="68"/>
      <c r="N533" s="65"/>
      <c r="O533" s="65"/>
      <c r="P533" s="65"/>
      <c r="Q533" s="65"/>
      <c r="R533" s="65"/>
    </row>
    <row r="534" spans="2:18" ht="15" x14ac:dyDescent="0.25">
      <c r="B534" s="69"/>
      <c r="D534" s="70"/>
      <c r="E534" s="65"/>
      <c r="F534" s="65"/>
      <c r="G534" s="65"/>
      <c r="H534" s="65"/>
      <c r="I534" s="65"/>
      <c r="J534" s="65"/>
      <c r="K534" s="65"/>
      <c r="L534" s="65"/>
      <c r="M534" s="68"/>
      <c r="N534" s="65"/>
      <c r="O534" s="65"/>
      <c r="P534" s="65"/>
      <c r="Q534" s="65"/>
      <c r="R534" s="65"/>
    </row>
    <row r="535" spans="2:18" ht="15" x14ac:dyDescent="0.25">
      <c r="B535" s="69"/>
      <c r="D535" s="70"/>
      <c r="E535" s="65"/>
      <c r="F535" s="65"/>
      <c r="G535" s="65"/>
      <c r="H535" s="65"/>
      <c r="I535" s="65"/>
      <c r="J535" s="65"/>
      <c r="K535" s="65"/>
      <c r="L535" s="65"/>
      <c r="M535" s="68"/>
      <c r="N535" s="65"/>
      <c r="O535" s="65"/>
      <c r="P535" s="65"/>
      <c r="Q535" s="65"/>
      <c r="R535" s="65"/>
    </row>
    <row r="536" spans="2:18" ht="15" x14ac:dyDescent="0.25">
      <c r="B536" s="69"/>
      <c r="D536" s="70"/>
      <c r="E536" s="65"/>
      <c r="F536" s="65"/>
      <c r="G536" s="65"/>
      <c r="H536" s="65"/>
      <c r="I536" s="65"/>
      <c r="J536" s="65"/>
      <c r="K536" s="65"/>
      <c r="L536" s="65"/>
      <c r="M536" s="68"/>
      <c r="N536" s="65"/>
      <c r="O536" s="65"/>
      <c r="P536" s="65"/>
      <c r="Q536" s="65"/>
      <c r="R536" s="65"/>
    </row>
    <row r="537" spans="2:18" ht="15" x14ac:dyDescent="0.25">
      <c r="B537" s="69"/>
      <c r="D537" s="70"/>
      <c r="E537" s="65"/>
      <c r="F537" s="65"/>
      <c r="G537" s="65"/>
      <c r="H537" s="65"/>
      <c r="I537" s="65"/>
      <c r="J537" s="65"/>
      <c r="K537" s="65"/>
      <c r="L537" s="65"/>
      <c r="M537" s="68"/>
      <c r="N537" s="65"/>
      <c r="O537" s="65"/>
      <c r="P537" s="65"/>
      <c r="Q537" s="65"/>
      <c r="R537" s="65"/>
    </row>
    <row r="538" spans="2:18" ht="15" x14ac:dyDescent="0.25">
      <c r="B538" s="69"/>
      <c r="D538" s="70"/>
      <c r="E538" s="65"/>
      <c r="F538" s="65"/>
      <c r="G538" s="65"/>
      <c r="H538" s="65"/>
      <c r="I538" s="65"/>
      <c r="J538" s="65"/>
      <c r="K538" s="65"/>
      <c r="L538" s="65"/>
      <c r="M538" s="68"/>
      <c r="N538" s="65"/>
      <c r="O538" s="65"/>
      <c r="P538" s="65"/>
      <c r="Q538" s="65"/>
      <c r="R538" s="65"/>
    </row>
    <row r="539" spans="2:18" ht="15" x14ac:dyDescent="0.25">
      <c r="B539" s="69"/>
      <c r="D539" s="70"/>
      <c r="E539" s="65"/>
      <c r="F539" s="65"/>
      <c r="G539" s="65"/>
      <c r="H539" s="65"/>
      <c r="I539" s="65"/>
      <c r="J539" s="65"/>
      <c r="K539" s="65"/>
      <c r="L539" s="65"/>
      <c r="M539" s="68"/>
      <c r="N539" s="65"/>
      <c r="O539" s="65"/>
      <c r="P539" s="65"/>
      <c r="Q539" s="65"/>
      <c r="R539" s="65"/>
    </row>
    <row r="540" spans="2:18" ht="15" x14ac:dyDescent="0.25">
      <c r="B540" s="69"/>
      <c r="D540" s="70"/>
      <c r="E540" s="65"/>
      <c r="F540" s="65"/>
      <c r="G540" s="65"/>
      <c r="H540" s="65"/>
      <c r="I540" s="65"/>
      <c r="J540" s="65"/>
      <c r="K540" s="65"/>
      <c r="L540" s="65"/>
      <c r="M540" s="68"/>
      <c r="N540" s="65"/>
      <c r="O540" s="65"/>
      <c r="P540" s="65"/>
      <c r="Q540" s="65"/>
      <c r="R540" s="65"/>
    </row>
    <row r="541" spans="2:18" ht="15" x14ac:dyDescent="0.25">
      <c r="B541" s="69"/>
      <c r="D541" s="70"/>
      <c r="E541" s="65"/>
      <c r="F541" s="65"/>
      <c r="G541" s="65"/>
      <c r="H541" s="65"/>
      <c r="I541" s="65"/>
      <c r="J541" s="65"/>
      <c r="K541" s="65"/>
      <c r="L541" s="65"/>
      <c r="M541" s="68"/>
      <c r="N541" s="65"/>
      <c r="O541" s="65"/>
      <c r="P541" s="65"/>
      <c r="Q541" s="65"/>
      <c r="R541" s="65"/>
    </row>
    <row r="542" spans="2:18" ht="15" x14ac:dyDescent="0.25">
      <c r="B542" s="69"/>
      <c r="D542" s="70"/>
      <c r="E542" s="65"/>
      <c r="F542" s="65"/>
      <c r="G542" s="65"/>
      <c r="H542" s="65"/>
      <c r="I542" s="65"/>
      <c r="J542" s="65"/>
      <c r="K542" s="65"/>
      <c r="L542" s="65"/>
      <c r="M542" s="68"/>
      <c r="N542" s="65"/>
      <c r="O542" s="65"/>
      <c r="P542" s="65"/>
      <c r="Q542" s="65"/>
      <c r="R542" s="65"/>
    </row>
    <row r="543" spans="2:18" ht="15" x14ac:dyDescent="0.25">
      <c r="B543" s="69"/>
      <c r="D543" s="70"/>
      <c r="E543" s="65"/>
      <c r="F543" s="65"/>
      <c r="G543" s="65"/>
      <c r="H543" s="65"/>
      <c r="I543" s="65"/>
      <c r="J543" s="65"/>
      <c r="K543" s="65"/>
      <c r="L543" s="65"/>
      <c r="M543" s="68"/>
      <c r="N543" s="65"/>
      <c r="O543" s="65"/>
      <c r="P543" s="65"/>
      <c r="Q543" s="65"/>
      <c r="R543" s="65"/>
    </row>
    <row r="544" spans="2:18" ht="15" x14ac:dyDescent="0.25">
      <c r="B544" s="69"/>
      <c r="D544" s="70"/>
      <c r="E544" s="65"/>
      <c r="F544" s="65"/>
      <c r="G544" s="65"/>
      <c r="H544" s="65"/>
      <c r="I544" s="65"/>
      <c r="J544" s="65"/>
      <c r="K544" s="65"/>
      <c r="L544" s="65"/>
      <c r="M544" s="68"/>
      <c r="N544" s="65"/>
      <c r="O544" s="65"/>
      <c r="P544" s="65"/>
      <c r="Q544" s="65"/>
      <c r="R544" s="65"/>
    </row>
    <row r="545" spans="2:18" ht="15" x14ac:dyDescent="0.25">
      <c r="B545" s="69"/>
      <c r="D545" s="70"/>
      <c r="E545" s="65"/>
      <c r="F545" s="65"/>
      <c r="G545" s="65"/>
      <c r="H545" s="65"/>
      <c r="I545" s="65"/>
      <c r="J545" s="65"/>
      <c r="K545" s="65"/>
      <c r="L545" s="65"/>
      <c r="M545" s="68"/>
      <c r="N545" s="65"/>
      <c r="O545" s="65"/>
      <c r="P545" s="65"/>
      <c r="Q545" s="65"/>
      <c r="R545" s="65"/>
    </row>
    <row r="546" spans="2:18" ht="15" x14ac:dyDescent="0.25">
      <c r="B546" s="69"/>
      <c r="D546" s="70"/>
      <c r="E546" s="65"/>
      <c r="F546" s="65"/>
      <c r="G546" s="65"/>
      <c r="H546" s="65"/>
      <c r="I546" s="65"/>
      <c r="J546" s="65"/>
      <c r="K546" s="65"/>
      <c r="L546" s="65"/>
      <c r="M546" s="68"/>
      <c r="N546" s="65"/>
      <c r="O546" s="65"/>
      <c r="P546" s="65"/>
      <c r="Q546" s="65"/>
      <c r="R546" s="65"/>
    </row>
    <row r="547" spans="2:18" ht="15" x14ac:dyDescent="0.25">
      <c r="B547" s="69"/>
      <c r="D547" s="70"/>
      <c r="E547" s="65"/>
      <c r="F547" s="65"/>
      <c r="G547" s="65"/>
      <c r="H547" s="65"/>
      <c r="I547" s="65"/>
      <c r="J547" s="65"/>
      <c r="K547" s="65"/>
      <c r="L547" s="65"/>
      <c r="M547" s="68"/>
      <c r="N547" s="65"/>
      <c r="O547" s="65"/>
      <c r="P547" s="65"/>
      <c r="Q547" s="65"/>
      <c r="R547" s="65"/>
    </row>
    <row r="548" spans="2:18" ht="15" x14ac:dyDescent="0.25">
      <c r="B548" s="69"/>
      <c r="D548" s="70"/>
      <c r="E548" s="65"/>
      <c r="F548" s="65"/>
      <c r="G548" s="65"/>
      <c r="H548" s="65"/>
      <c r="I548" s="65"/>
      <c r="J548" s="65"/>
      <c r="K548" s="65"/>
      <c r="L548" s="65"/>
      <c r="M548" s="68"/>
      <c r="N548" s="65"/>
      <c r="O548" s="65"/>
      <c r="P548" s="65"/>
      <c r="Q548" s="65"/>
      <c r="R548" s="65"/>
    </row>
    <row r="549" spans="2:18" ht="15" x14ac:dyDescent="0.25">
      <c r="B549" s="69"/>
      <c r="D549" s="70"/>
      <c r="E549" s="65"/>
      <c r="F549" s="65"/>
      <c r="G549" s="65"/>
      <c r="H549" s="65"/>
      <c r="I549" s="65"/>
      <c r="J549" s="65"/>
      <c r="K549" s="65"/>
      <c r="L549" s="65"/>
      <c r="M549" s="68"/>
      <c r="N549" s="65"/>
      <c r="O549" s="65"/>
      <c r="P549" s="65"/>
      <c r="Q549" s="65"/>
      <c r="R549" s="65"/>
    </row>
    <row r="550" spans="2:18" ht="15" x14ac:dyDescent="0.25">
      <c r="B550" s="69"/>
      <c r="D550" s="70"/>
      <c r="E550" s="65"/>
      <c r="F550" s="65"/>
      <c r="G550" s="65"/>
      <c r="H550" s="65"/>
      <c r="I550" s="65"/>
      <c r="J550" s="65"/>
      <c r="K550" s="65"/>
      <c r="L550" s="65"/>
      <c r="M550" s="68"/>
      <c r="N550" s="65"/>
      <c r="O550" s="65"/>
      <c r="P550" s="65"/>
      <c r="Q550" s="65"/>
      <c r="R550" s="65"/>
    </row>
    <row r="551" spans="2:18" ht="15" x14ac:dyDescent="0.25">
      <c r="B551" s="69"/>
      <c r="D551" s="70"/>
      <c r="E551" s="65"/>
      <c r="F551" s="65"/>
      <c r="G551" s="65"/>
      <c r="H551" s="65"/>
      <c r="I551" s="65"/>
      <c r="J551" s="65"/>
      <c r="K551" s="65"/>
      <c r="L551" s="65"/>
      <c r="M551" s="68"/>
      <c r="N551" s="65"/>
      <c r="O551" s="65"/>
      <c r="P551" s="65"/>
      <c r="Q551" s="65"/>
      <c r="R551" s="65"/>
    </row>
    <row r="552" spans="2:18" ht="15" x14ac:dyDescent="0.25">
      <c r="B552" s="69"/>
      <c r="D552" s="70"/>
      <c r="E552" s="65"/>
      <c r="F552" s="65"/>
      <c r="G552" s="65"/>
      <c r="H552" s="65"/>
      <c r="I552" s="65"/>
      <c r="J552" s="65"/>
      <c r="K552" s="65"/>
      <c r="L552" s="65"/>
      <c r="M552" s="68"/>
      <c r="N552" s="65"/>
      <c r="O552" s="65"/>
      <c r="P552" s="65"/>
      <c r="Q552" s="65"/>
      <c r="R552" s="65"/>
    </row>
    <row r="553" spans="2:18" ht="15" x14ac:dyDescent="0.25">
      <c r="B553" s="69"/>
      <c r="D553" s="70"/>
      <c r="E553" s="65"/>
      <c r="F553" s="65"/>
      <c r="G553" s="65"/>
      <c r="H553" s="65"/>
      <c r="I553" s="65"/>
      <c r="J553" s="65"/>
      <c r="K553" s="65"/>
      <c r="L553" s="65"/>
      <c r="M553" s="68"/>
      <c r="N553" s="65"/>
      <c r="O553" s="65"/>
      <c r="P553" s="65"/>
      <c r="Q553" s="65"/>
      <c r="R553" s="65"/>
    </row>
    <row r="554" spans="2:18" ht="15" x14ac:dyDescent="0.25">
      <c r="B554" s="69"/>
      <c r="D554" s="70"/>
      <c r="E554" s="65"/>
      <c r="F554" s="65"/>
      <c r="G554" s="65"/>
      <c r="H554" s="65"/>
      <c r="I554" s="65"/>
      <c r="J554" s="65"/>
      <c r="K554" s="65"/>
      <c r="L554" s="65"/>
      <c r="M554" s="68"/>
      <c r="N554" s="65"/>
      <c r="O554" s="65"/>
      <c r="P554" s="65"/>
      <c r="Q554" s="65"/>
      <c r="R554" s="65"/>
    </row>
    <row r="555" spans="2:18" ht="15" x14ac:dyDescent="0.25">
      <c r="B555" s="69"/>
      <c r="D555" s="70"/>
      <c r="E555" s="65"/>
      <c r="F555" s="65"/>
      <c r="G555" s="65"/>
      <c r="H555" s="65"/>
      <c r="I555" s="65"/>
      <c r="J555" s="65"/>
      <c r="K555" s="65"/>
      <c r="L555" s="65"/>
      <c r="M555" s="68"/>
      <c r="N555" s="65"/>
      <c r="O555" s="65"/>
      <c r="P555" s="65"/>
      <c r="Q555" s="65"/>
      <c r="R555" s="65"/>
    </row>
    <row r="556" spans="2:18" ht="15" x14ac:dyDescent="0.25">
      <c r="B556" s="69"/>
      <c r="D556" s="70"/>
      <c r="E556" s="65"/>
      <c r="F556" s="65"/>
      <c r="G556" s="65"/>
      <c r="H556" s="65"/>
      <c r="I556" s="65"/>
      <c r="J556" s="65"/>
      <c r="K556" s="65"/>
      <c r="L556" s="65"/>
      <c r="M556" s="68"/>
      <c r="N556" s="65"/>
      <c r="O556" s="65"/>
      <c r="P556" s="65"/>
      <c r="Q556" s="65"/>
      <c r="R556" s="65"/>
    </row>
    <row r="557" spans="2:18" ht="15" x14ac:dyDescent="0.25">
      <c r="B557" s="69"/>
      <c r="D557" s="70"/>
      <c r="E557" s="65"/>
      <c r="F557" s="65"/>
      <c r="G557" s="65"/>
      <c r="H557" s="65"/>
      <c r="I557" s="65"/>
      <c r="J557" s="65"/>
      <c r="K557" s="65"/>
      <c r="L557" s="65"/>
      <c r="M557" s="68"/>
      <c r="N557" s="65"/>
      <c r="O557" s="65"/>
      <c r="P557" s="65"/>
      <c r="Q557" s="65"/>
      <c r="R557" s="65"/>
    </row>
    <row r="558" spans="2:18" ht="15" x14ac:dyDescent="0.25">
      <c r="B558" s="69"/>
      <c r="D558" s="70"/>
      <c r="E558" s="65"/>
      <c r="F558" s="65"/>
      <c r="G558" s="65"/>
      <c r="H558" s="65"/>
      <c r="I558" s="65"/>
      <c r="J558" s="65"/>
      <c r="K558" s="65"/>
      <c r="L558" s="65"/>
      <c r="M558" s="68"/>
      <c r="N558" s="65"/>
      <c r="O558" s="65"/>
      <c r="P558" s="65"/>
      <c r="Q558" s="65"/>
      <c r="R558" s="65"/>
    </row>
    <row r="559" spans="2:18" ht="15" x14ac:dyDescent="0.25">
      <c r="B559" s="69"/>
      <c r="D559" s="70"/>
      <c r="E559" s="65"/>
      <c r="F559" s="65"/>
      <c r="G559" s="65"/>
      <c r="H559" s="65"/>
      <c r="I559" s="65"/>
      <c r="J559" s="65"/>
      <c r="K559" s="65"/>
      <c r="L559" s="65"/>
      <c r="M559" s="68"/>
      <c r="N559" s="65"/>
      <c r="O559" s="65"/>
      <c r="P559" s="65"/>
      <c r="Q559" s="65"/>
      <c r="R559" s="65"/>
    </row>
    <row r="560" spans="2:18" ht="15" x14ac:dyDescent="0.25">
      <c r="B560" s="69"/>
      <c r="D560" s="70"/>
      <c r="E560" s="65"/>
      <c r="F560" s="65"/>
      <c r="G560" s="65"/>
      <c r="H560" s="65"/>
      <c r="I560" s="65"/>
      <c r="J560" s="65"/>
      <c r="K560" s="65"/>
      <c r="L560" s="65"/>
      <c r="M560" s="68"/>
      <c r="N560" s="65"/>
      <c r="O560" s="65"/>
      <c r="P560" s="65"/>
      <c r="Q560" s="65"/>
      <c r="R560" s="65"/>
    </row>
    <row r="561" spans="2:18" ht="15" x14ac:dyDescent="0.25">
      <c r="B561" s="69"/>
      <c r="D561" s="70"/>
      <c r="E561" s="65"/>
      <c r="F561" s="65"/>
      <c r="G561" s="65"/>
      <c r="H561" s="65"/>
      <c r="I561" s="65"/>
      <c r="J561" s="65"/>
      <c r="K561" s="65"/>
      <c r="L561" s="65"/>
      <c r="M561" s="68"/>
      <c r="N561" s="65"/>
      <c r="O561" s="65"/>
      <c r="P561" s="65"/>
      <c r="Q561" s="65"/>
      <c r="R561" s="65"/>
    </row>
    <row r="562" spans="2:18" ht="15" x14ac:dyDescent="0.25">
      <c r="B562" s="69"/>
      <c r="D562" s="70"/>
      <c r="E562" s="65"/>
      <c r="F562" s="65"/>
      <c r="G562" s="65"/>
      <c r="H562" s="65"/>
      <c r="I562" s="65"/>
      <c r="J562" s="65"/>
      <c r="K562" s="65"/>
      <c r="L562" s="65"/>
      <c r="M562" s="68"/>
      <c r="N562" s="65"/>
      <c r="O562" s="65"/>
      <c r="P562" s="65"/>
      <c r="Q562" s="65"/>
      <c r="R562" s="65"/>
    </row>
    <row r="563" spans="2:18" ht="15" x14ac:dyDescent="0.25">
      <c r="B563" s="69"/>
      <c r="D563" s="70"/>
      <c r="E563" s="65"/>
      <c r="F563" s="65"/>
      <c r="G563" s="65"/>
      <c r="H563" s="65"/>
      <c r="I563" s="65"/>
      <c r="J563" s="65"/>
      <c r="K563" s="65"/>
      <c r="L563" s="65"/>
      <c r="M563" s="68"/>
      <c r="N563" s="65"/>
      <c r="O563" s="65"/>
      <c r="P563" s="65"/>
      <c r="Q563" s="65"/>
      <c r="R563" s="65"/>
    </row>
    <row r="564" spans="2:18" ht="15" x14ac:dyDescent="0.25">
      <c r="B564" s="69"/>
      <c r="D564" s="70"/>
      <c r="E564" s="65"/>
      <c r="F564" s="65"/>
      <c r="G564" s="65"/>
      <c r="H564" s="65"/>
      <c r="I564" s="65"/>
      <c r="J564" s="65"/>
      <c r="K564" s="65"/>
      <c r="L564" s="65"/>
      <c r="M564" s="68"/>
      <c r="N564" s="65"/>
      <c r="O564" s="65"/>
      <c r="P564" s="65"/>
      <c r="Q564" s="65"/>
      <c r="R564" s="65"/>
    </row>
    <row r="565" spans="2:18" ht="15" x14ac:dyDescent="0.25">
      <c r="B565" s="69"/>
      <c r="D565" s="70"/>
      <c r="E565" s="65"/>
      <c r="F565" s="65"/>
      <c r="G565" s="65"/>
      <c r="H565" s="65"/>
      <c r="I565" s="65"/>
      <c r="J565" s="65"/>
      <c r="K565" s="65"/>
      <c r="L565" s="65"/>
      <c r="M565" s="68"/>
      <c r="N565" s="65"/>
      <c r="O565" s="65"/>
      <c r="P565" s="65"/>
      <c r="Q565" s="65"/>
      <c r="R565" s="65"/>
    </row>
    <row r="566" spans="2:18" ht="15" x14ac:dyDescent="0.25">
      <c r="B566" s="69"/>
      <c r="D566" s="70"/>
      <c r="E566" s="65"/>
      <c r="F566" s="65"/>
      <c r="G566" s="65"/>
      <c r="H566" s="65"/>
      <c r="I566" s="65"/>
      <c r="J566" s="65"/>
      <c r="K566" s="65"/>
      <c r="L566" s="65"/>
      <c r="M566" s="68"/>
      <c r="N566" s="65"/>
      <c r="O566" s="65"/>
      <c r="P566" s="65"/>
      <c r="Q566" s="65"/>
      <c r="R566" s="65"/>
    </row>
    <row r="567" spans="2:18" ht="15" x14ac:dyDescent="0.25">
      <c r="B567" s="69"/>
      <c r="D567" s="70"/>
      <c r="E567" s="65"/>
      <c r="F567" s="65"/>
      <c r="G567" s="65"/>
      <c r="H567" s="65"/>
      <c r="I567" s="65"/>
      <c r="J567" s="65"/>
      <c r="K567" s="65"/>
      <c r="L567" s="65"/>
      <c r="M567" s="68"/>
      <c r="N567" s="65"/>
      <c r="O567" s="65"/>
      <c r="P567" s="65"/>
      <c r="Q567" s="65"/>
      <c r="R567" s="65"/>
    </row>
    <row r="568" spans="2:18" ht="15" x14ac:dyDescent="0.25">
      <c r="B568" s="69"/>
      <c r="D568" s="70"/>
      <c r="E568" s="65"/>
      <c r="F568" s="65"/>
      <c r="G568" s="65"/>
      <c r="H568" s="65"/>
      <c r="I568" s="65"/>
      <c r="J568" s="65"/>
      <c r="K568" s="65"/>
      <c r="L568" s="65"/>
      <c r="M568" s="68"/>
      <c r="N568" s="65"/>
      <c r="O568" s="65"/>
      <c r="P568" s="65"/>
      <c r="Q568" s="65"/>
      <c r="R568" s="65"/>
    </row>
    <row r="569" spans="2:18" ht="15" x14ac:dyDescent="0.25">
      <c r="B569" s="69"/>
      <c r="D569" s="70"/>
      <c r="E569" s="65"/>
      <c r="F569" s="65"/>
      <c r="G569" s="65"/>
      <c r="H569" s="65"/>
      <c r="I569" s="65"/>
      <c r="J569" s="65"/>
      <c r="K569" s="65"/>
      <c r="L569" s="65"/>
      <c r="M569" s="68"/>
      <c r="N569" s="65"/>
      <c r="O569" s="65"/>
      <c r="P569" s="65"/>
      <c r="Q569" s="65"/>
      <c r="R569" s="65"/>
    </row>
    <row r="570" spans="2:18" ht="15" x14ac:dyDescent="0.25">
      <c r="B570" s="69"/>
      <c r="D570" s="70"/>
      <c r="E570" s="65"/>
      <c r="F570" s="65"/>
      <c r="G570" s="65"/>
      <c r="H570" s="65"/>
      <c r="I570" s="65"/>
      <c r="J570" s="65"/>
      <c r="K570" s="65"/>
      <c r="L570" s="65"/>
      <c r="M570" s="68"/>
      <c r="N570" s="65"/>
      <c r="O570" s="65"/>
      <c r="P570" s="65"/>
      <c r="Q570" s="65"/>
      <c r="R570" s="65"/>
    </row>
    <row r="571" spans="2:18" ht="15" x14ac:dyDescent="0.25">
      <c r="B571" s="69"/>
      <c r="D571" s="70"/>
      <c r="E571" s="65"/>
      <c r="F571" s="65"/>
      <c r="G571" s="65"/>
      <c r="H571" s="65"/>
      <c r="I571" s="65"/>
      <c r="J571" s="65"/>
      <c r="K571" s="65"/>
      <c r="L571" s="65"/>
      <c r="M571" s="68"/>
      <c r="N571" s="65"/>
      <c r="O571" s="65"/>
      <c r="P571" s="65"/>
      <c r="Q571" s="65"/>
      <c r="R571" s="65"/>
    </row>
    <row r="572" spans="2:18" ht="15" x14ac:dyDescent="0.25">
      <c r="B572" s="69"/>
      <c r="D572" s="70"/>
      <c r="E572" s="65"/>
      <c r="F572" s="65"/>
      <c r="G572" s="65"/>
      <c r="H572" s="65"/>
      <c r="I572" s="65"/>
      <c r="J572" s="65"/>
      <c r="K572" s="65"/>
      <c r="L572" s="65"/>
      <c r="M572" s="68"/>
      <c r="N572" s="65"/>
      <c r="O572" s="65"/>
      <c r="P572" s="65"/>
      <c r="Q572" s="65"/>
      <c r="R572" s="65"/>
    </row>
    <row r="573" spans="2:18" ht="15" x14ac:dyDescent="0.25">
      <c r="B573" s="69"/>
      <c r="D573" s="70"/>
      <c r="E573" s="65"/>
      <c r="F573" s="65"/>
      <c r="G573" s="65"/>
      <c r="H573" s="65"/>
      <c r="I573" s="65"/>
      <c r="J573" s="65"/>
      <c r="K573" s="65"/>
      <c r="L573" s="65"/>
      <c r="M573" s="68"/>
      <c r="N573" s="65"/>
      <c r="O573" s="65"/>
      <c r="P573" s="65"/>
      <c r="Q573" s="65"/>
      <c r="R573" s="65"/>
    </row>
    <row r="574" spans="2:18" ht="15" x14ac:dyDescent="0.25">
      <c r="B574" s="69"/>
      <c r="D574" s="70"/>
      <c r="E574" s="65"/>
      <c r="F574" s="65"/>
      <c r="G574" s="65"/>
      <c r="H574" s="65"/>
      <c r="I574" s="65"/>
      <c r="J574" s="65"/>
      <c r="K574" s="65"/>
      <c r="L574" s="65"/>
      <c r="M574" s="68"/>
      <c r="N574" s="65"/>
      <c r="O574" s="65"/>
      <c r="P574" s="65"/>
      <c r="Q574" s="65"/>
      <c r="R574" s="65"/>
    </row>
    <row r="575" spans="2:18" ht="15" x14ac:dyDescent="0.25">
      <c r="B575" s="69"/>
      <c r="D575" s="70"/>
      <c r="E575" s="65"/>
      <c r="F575" s="65"/>
      <c r="G575" s="65"/>
      <c r="H575" s="65"/>
      <c r="I575" s="65"/>
      <c r="J575" s="65"/>
      <c r="K575" s="65"/>
      <c r="L575" s="65"/>
      <c r="M575" s="68"/>
      <c r="N575" s="65"/>
      <c r="O575" s="65"/>
      <c r="P575" s="65"/>
      <c r="Q575" s="65"/>
      <c r="R575" s="65"/>
    </row>
    <row r="576" spans="2:18" ht="15" x14ac:dyDescent="0.25">
      <c r="B576" s="69"/>
      <c r="D576" s="70"/>
      <c r="E576" s="65"/>
      <c r="F576" s="65"/>
      <c r="G576" s="65"/>
      <c r="H576" s="65"/>
      <c r="I576" s="65"/>
      <c r="J576" s="65"/>
      <c r="K576" s="65"/>
      <c r="L576" s="65"/>
      <c r="M576" s="68"/>
      <c r="N576" s="65"/>
      <c r="O576" s="65"/>
      <c r="P576" s="65"/>
      <c r="Q576" s="65"/>
      <c r="R576" s="65"/>
    </row>
    <row r="577" spans="2:18" ht="15" x14ac:dyDescent="0.25">
      <c r="B577" s="69"/>
      <c r="D577" s="70"/>
      <c r="E577" s="65"/>
      <c r="F577" s="65"/>
      <c r="G577" s="65"/>
      <c r="H577" s="65"/>
      <c r="I577" s="65"/>
      <c r="J577" s="65"/>
      <c r="K577" s="65"/>
      <c r="L577" s="65"/>
      <c r="M577" s="68"/>
      <c r="N577" s="65"/>
      <c r="O577" s="65"/>
      <c r="P577" s="65"/>
      <c r="Q577" s="65"/>
      <c r="R577" s="65"/>
    </row>
    <row r="578" spans="2:18" ht="15" x14ac:dyDescent="0.25">
      <c r="B578" s="69"/>
      <c r="D578" s="70"/>
      <c r="E578" s="65"/>
      <c r="F578" s="65"/>
      <c r="G578" s="65"/>
      <c r="H578" s="65"/>
      <c r="I578" s="65"/>
      <c r="J578" s="65"/>
      <c r="K578" s="65"/>
      <c r="L578" s="65"/>
      <c r="M578" s="68"/>
      <c r="N578" s="65"/>
      <c r="O578" s="65"/>
      <c r="P578" s="65"/>
      <c r="Q578" s="65"/>
      <c r="R578" s="65"/>
    </row>
    <row r="579" spans="2:18" ht="15" x14ac:dyDescent="0.25">
      <c r="B579" s="69"/>
      <c r="D579" s="70"/>
      <c r="E579" s="65"/>
      <c r="F579" s="65"/>
      <c r="G579" s="65"/>
      <c r="H579" s="65"/>
      <c r="I579" s="65"/>
      <c r="J579" s="65"/>
      <c r="K579" s="65"/>
      <c r="L579" s="65"/>
      <c r="M579" s="68"/>
      <c r="N579" s="65"/>
      <c r="O579" s="65"/>
      <c r="P579" s="65"/>
      <c r="Q579" s="65"/>
      <c r="R579" s="65"/>
    </row>
    <row r="580" spans="2:18" ht="15" x14ac:dyDescent="0.25">
      <c r="B580" s="69"/>
      <c r="D580" s="70"/>
      <c r="E580" s="65"/>
      <c r="F580" s="65"/>
      <c r="G580" s="65"/>
      <c r="H580" s="65"/>
      <c r="I580" s="65"/>
      <c r="J580" s="65"/>
      <c r="K580" s="65"/>
      <c r="L580" s="65"/>
      <c r="M580" s="68"/>
      <c r="N580" s="65"/>
      <c r="O580" s="65"/>
      <c r="P580" s="65"/>
      <c r="Q580" s="65"/>
      <c r="R580" s="65"/>
    </row>
    <row r="581" spans="2:18" ht="15" x14ac:dyDescent="0.25">
      <c r="B581" s="69"/>
      <c r="D581" s="70"/>
      <c r="E581" s="65"/>
      <c r="F581" s="65"/>
      <c r="G581" s="65"/>
      <c r="H581" s="65"/>
      <c r="I581" s="65"/>
      <c r="J581" s="65"/>
      <c r="K581" s="65"/>
      <c r="L581" s="65"/>
      <c r="M581" s="68"/>
      <c r="N581" s="65"/>
      <c r="O581" s="65"/>
      <c r="P581" s="65"/>
      <c r="Q581" s="65"/>
      <c r="R581" s="65"/>
    </row>
    <row r="582" spans="2:18" ht="15" x14ac:dyDescent="0.25">
      <c r="B582" s="69"/>
      <c r="D582" s="70"/>
      <c r="E582" s="65"/>
      <c r="F582" s="65"/>
      <c r="G582" s="65"/>
      <c r="H582" s="65"/>
      <c r="I582" s="65"/>
      <c r="J582" s="65"/>
      <c r="K582" s="65"/>
      <c r="L582" s="65"/>
      <c r="M582" s="68"/>
      <c r="N582" s="65"/>
      <c r="O582" s="65"/>
      <c r="P582" s="65"/>
      <c r="Q582" s="65"/>
      <c r="R582" s="65"/>
    </row>
    <row r="583" spans="2:18" ht="15" x14ac:dyDescent="0.25">
      <c r="B583" s="69"/>
      <c r="D583" s="70"/>
      <c r="E583" s="65"/>
      <c r="F583" s="65"/>
      <c r="G583" s="65"/>
      <c r="H583" s="65"/>
      <c r="I583" s="65"/>
      <c r="J583" s="65"/>
      <c r="K583" s="65"/>
      <c r="L583" s="65"/>
      <c r="M583" s="68"/>
      <c r="N583" s="65"/>
      <c r="O583" s="65"/>
      <c r="P583" s="65"/>
      <c r="Q583" s="65"/>
      <c r="R583" s="65"/>
    </row>
    <row r="584" spans="2:18" ht="15" x14ac:dyDescent="0.25">
      <c r="B584" s="69"/>
      <c r="D584" s="70"/>
      <c r="E584" s="65"/>
      <c r="F584" s="65"/>
      <c r="G584" s="65"/>
      <c r="H584" s="65"/>
      <c r="I584" s="65"/>
      <c r="J584" s="65"/>
      <c r="K584" s="65"/>
      <c r="L584" s="65"/>
      <c r="M584" s="68"/>
      <c r="N584" s="65"/>
      <c r="O584" s="65"/>
      <c r="P584" s="65"/>
      <c r="Q584" s="65"/>
      <c r="R584" s="65"/>
    </row>
    <row r="585" spans="2:18" ht="15" x14ac:dyDescent="0.25">
      <c r="B585" s="69"/>
      <c r="D585" s="70"/>
      <c r="E585" s="65"/>
      <c r="F585" s="65"/>
      <c r="G585" s="65"/>
      <c r="H585" s="65"/>
      <c r="I585" s="65"/>
      <c r="J585" s="65"/>
      <c r="K585" s="65"/>
      <c r="L585" s="65"/>
      <c r="M585" s="68"/>
      <c r="N585" s="65"/>
      <c r="O585" s="65"/>
      <c r="P585" s="65"/>
      <c r="Q585" s="65"/>
      <c r="R585" s="65"/>
    </row>
    <row r="586" spans="2:18" ht="15" x14ac:dyDescent="0.25">
      <c r="B586" s="69"/>
      <c r="D586" s="70"/>
      <c r="E586" s="65"/>
      <c r="F586" s="65"/>
      <c r="G586" s="65"/>
      <c r="H586" s="65"/>
      <c r="I586" s="65"/>
      <c r="J586" s="65"/>
      <c r="K586" s="65"/>
      <c r="L586" s="65"/>
      <c r="M586" s="68"/>
      <c r="N586" s="65"/>
      <c r="O586" s="65"/>
      <c r="P586" s="65"/>
      <c r="Q586" s="65"/>
      <c r="R586" s="65"/>
    </row>
    <row r="587" spans="2:18" ht="15" x14ac:dyDescent="0.25">
      <c r="B587" s="69"/>
      <c r="D587" s="70"/>
      <c r="E587" s="65"/>
      <c r="F587" s="65"/>
      <c r="G587" s="65"/>
      <c r="H587" s="65"/>
      <c r="I587" s="65"/>
      <c r="J587" s="65"/>
      <c r="K587" s="65"/>
      <c r="L587" s="65"/>
      <c r="M587" s="68"/>
      <c r="N587" s="65"/>
      <c r="O587" s="65"/>
      <c r="P587" s="65"/>
      <c r="Q587" s="65"/>
      <c r="R587" s="65"/>
    </row>
    <row r="588" spans="2:18" ht="15" x14ac:dyDescent="0.25">
      <c r="B588" s="69"/>
      <c r="D588" s="70"/>
      <c r="E588" s="65"/>
      <c r="F588" s="65"/>
      <c r="G588" s="65"/>
      <c r="H588" s="65"/>
      <c r="I588" s="65"/>
      <c r="J588" s="65"/>
      <c r="K588" s="65"/>
      <c r="L588" s="65"/>
      <c r="M588" s="68"/>
      <c r="N588" s="65"/>
      <c r="O588" s="65"/>
      <c r="P588" s="65"/>
      <c r="Q588" s="65"/>
      <c r="R588" s="65"/>
    </row>
    <row r="589" spans="2:18" ht="15" x14ac:dyDescent="0.25">
      <c r="B589" s="69"/>
      <c r="D589" s="70"/>
      <c r="E589" s="65"/>
      <c r="F589" s="65"/>
      <c r="G589" s="65"/>
      <c r="H589" s="65"/>
      <c r="I589" s="65"/>
      <c r="J589" s="65"/>
      <c r="K589" s="65"/>
      <c r="L589" s="65"/>
      <c r="M589" s="68"/>
      <c r="N589" s="65"/>
      <c r="O589" s="65"/>
      <c r="P589" s="65"/>
      <c r="Q589" s="65"/>
      <c r="R589" s="65"/>
    </row>
    <row r="590" spans="2:18" ht="15" x14ac:dyDescent="0.25">
      <c r="B590" s="69"/>
      <c r="D590" s="70"/>
      <c r="E590" s="65"/>
      <c r="F590" s="65"/>
      <c r="G590" s="65"/>
      <c r="H590" s="65"/>
      <c r="I590" s="65"/>
      <c r="J590" s="65"/>
      <c r="K590" s="65"/>
      <c r="L590" s="65"/>
      <c r="M590" s="68"/>
      <c r="N590" s="65"/>
      <c r="O590" s="65"/>
      <c r="P590" s="65"/>
      <c r="Q590" s="65"/>
      <c r="R590" s="65"/>
    </row>
    <row r="591" spans="2:18" ht="15" x14ac:dyDescent="0.25">
      <c r="B591" s="69"/>
      <c r="D591" s="70"/>
      <c r="E591" s="65"/>
      <c r="F591" s="65"/>
      <c r="G591" s="65"/>
      <c r="H591" s="65"/>
      <c r="I591" s="65"/>
      <c r="J591" s="65"/>
      <c r="K591" s="65"/>
      <c r="L591" s="65"/>
      <c r="M591" s="68"/>
      <c r="N591" s="65"/>
      <c r="O591" s="65"/>
      <c r="P591" s="65"/>
      <c r="Q591" s="65"/>
      <c r="R591" s="65"/>
    </row>
    <row r="592" spans="2:18" ht="15" x14ac:dyDescent="0.25">
      <c r="B592" s="69"/>
      <c r="D592" s="70"/>
      <c r="E592" s="65"/>
      <c r="F592" s="65"/>
      <c r="G592" s="65"/>
      <c r="H592" s="65"/>
      <c r="I592" s="65"/>
      <c r="J592" s="65"/>
      <c r="K592" s="65"/>
      <c r="L592" s="65"/>
      <c r="M592" s="68"/>
      <c r="N592" s="65"/>
      <c r="O592" s="65"/>
      <c r="P592" s="65"/>
      <c r="Q592" s="65"/>
      <c r="R592" s="65"/>
    </row>
    <row r="593" spans="2:18" ht="15" x14ac:dyDescent="0.25">
      <c r="B593" s="69"/>
      <c r="D593" s="70"/>
      <c r="E593" s="65"/>
      <c r="F593" s="65"/>
      <c r="G593" s="65"/>
      <c r="H593" s="65"/>
      <c r="I593" s="65"/>
      <c r="J593" s="65"/>
      <c r="K593" s="65"/>
      <c r="L593" s="65"/>
      <c r="M593" s="68"/>
      <c r="N593" s="65"/>
      <c r="O593" s="65"/>
      <c r="P593" s="65"/>
      <c r="Q593" s="65"/>
      <c r="R593" s="65"/>
    </row>
    <row r="594" spans="2:18" ht="15" x14ac:dyDescent="0.25">
      <c r="B594" s="69"/>
      <c r="D594" s="70"/>
      <c r="E594" s="65"/>
      <c r="F594" s="65"/>
      <c r="G594" s="65"/>
      <c r="H594" s="65"/>
      <c r="I594" s="65"/>
      <c r="J594" s="65"/>
      <c r="K594" s="65"/>
      <c r="L594" s="65"/>
      <c r="M594" s="68"/>
      <c r="N594" s="65"/>
      <c r="O594" s="65"/>
      <c r="P594" s="65"/>
      <c r="Q594" s="65"/>
      <c r="R594" s="65"/>
    </row>
    <row r="595" spans="2:18" ht="15" x14ac:dyDescent="0.25">
      <c r="B595" s="69"/>
      <c r="D595" s="70"/>
      <c r="E595" s="65"/>
      <c r="F595" s="65"/>
      <c r="G595" s="65"/>
      <c r="H595" s="65"/>
      <c r="I595" s="65"/>
      <c r="J595" s="65"/>
      <c r="K595" s="65"/>
      <c r="L595" s="65"/>
      <c r="M595" s="68"/>
      <c r="N595" s="65"/>
      <c r="O595" s="65"/>
      <c r="P595" s="65"/>
      <c r="Q595" s="65"/>
      <c r="R595" s="65"/>
    </row>
    <row r="596" spans="2:18" ht="15" x14ac:dyDescent="0.25">
      <c r="B596" s="69"/>
      <c r="D596" s="70"/>
      <c r="E596" s="65"/>
      <c r="F596" s="65"/>
      <c r="G596" s="65"/>
      <c r="H596" s="65"/>
      <c r="I596" s="65"/>
      <c r="J596" s="65"/>
      <c r="K596" s="65"/>
      <c r="L596" s="65"/>
      <c r="M596" s="68"/>
      <c r="N596" s="65"/>
      <c r="O596" s="65"/>
      <c r="P596" s="65"/>
      <c r="Q596" s="65"/>
      <c r="R596" s="65"/>
    </row>
    <row r="597" spans="2:18" ht="15" x14ac:dyDescent="0.25">
      <c r="B597" s="69"/>
      <c r="D597" s="70"/>
      <c r="E597" s="65"/>
      <c r="F597" s="65"/>
      <c r="G597" s="65"/>
      <c r="H597" s="65"/>
      <c r="I597" s="65"/>
      <c r="J597" s="65"/>
      <c r="K597" s="65"/>
      <c r="L597" s="65"/>
      <c r="M597" s="68"/>
      <c r="N597" s="65"/>
      <c r="O597" s="65"/>
      <c r="P597" s="65"/>
      <c r="Q597" s="65"/>
      <c r="R597" s="65"/>
    </row>
    <row r="598" spans="2:18" ht="15" x14ac:dyDescent="0.25">
      <c r="B598" s="69"/>
      <c r="D598" s="70"/>
      <c r="E598" s="65"/>
      <c r="F598" s="65"/>
      <c r="G598" s="65"/>
      <c r="H598" s="65"/>
      <c r="I598" s="65"/>
      <c r="J598" s="65"/>
      <c r="K598" s="65"/>
      <c r="L598" s="65"/>
      <c r="M598" s="68"/>
      <c r="N598" s="65"/>
      <c r="O598" s="65"/>
      <c r="P598" s="65"/>
      <c r="Q598" s="65"/>
      <c r="R598" s="65"/>
    </row>
    <row r="599" spans="2:18" ht="15" x14ac:dyDescent="0.25">
      <c r="B599" s="69"/>
      <c r="D599" s="70"/>
      <c r="E599" s="65"/>
      <c r="F599" s="65"/>
      <c r="G599" s="65"/>
      <c r="H599" s="65"/>
      <c r="I599" s="65"/>
      <c r="J599" s="65"/>
      <c r="K599" s="65"/>
      <c r="L599" s="65"/>
      <c r="M599" s="68"/>
      <c r="N599" s="65"/>
      <c r="O599" s="65"/>
      <c r="P599" s="65"/>
      <c r="Q599" s="65"/>
      <c r="R599" s="65"/>
    </row>
    <row r="600" spans="2:18" ht="15" x14ac:dyDescent="0.25">
      <c r="B600" s="69"/>
      <c r="D600" s="70"/>
      <c r="E600" s="65"/>
      <c r="F600" s="65"/>
      <c r="G600" s="65"/>
      <c r="H600" s="65"/>
      <c r="I600" s="65"/>
      <c r="J600" s="65"/>
      <c r="K600" s="65"/>
      <c r="L600" s="65"/>
      <c r="M600" s="68"/>
      <c r="N600" s="65"/>
      <c r="O600" s="65"/>
      <c r="P600" s="65"/>
      <c r="Q600" s="65"/>
      <c r="R600" s="65"/>
    </row>
    <row r="601" spans="2:18" ht="15" x14ac:dyDescent="0.25">
      <c r="B601" s="69"/>
      <c r="D601" s="70"/>
      <c r="E601" s="65"/>
      <c r="F601" s="65"/>
      <c r="G601" s="65"/>
      <c r="H601" s="65"/>
      <c r="I601" s="65"/>
      <c r="J601" s="65"/>
      <c r="K601" s="65"/>
      <c r="L601" s="65"/>
      <c r="M601" s="68"/>
      <c r="N601" s="65"/>
      <c r="O601" s="65"/>
      <c r="P601" s="65"/>
      <c r="Q601" s="65"/>
      <c r="R601" s="65"/>
    </row>
    <row r="602" spans="2:18" ht="15" x14ac:dyDescent="0.25">
      <c r="B602" s="69"/>
      <c r="D602" s="70"/>
      <c r="E602" s="65"/>
      <c r="F602" s="65"/>
      <c r="G602" s="65"/>
      <c r="H602" s="65"/>
      <c r="I602" s="65"/>
      <c r="J602" s="65"/>
      <c r="K602" s="65"/>
      <c r="L602" s="65"/>
      <c r="M602" s="68"/>
      <c r="N602" s="65"/>
      <c r="O602" s="65"/>
      <c r="P602" s="65"/>
      <c r="Q602" s="65"/>
      <c r="R602" s="65"/>
    </row>
    <row r="603" spans="2:18" ht="15" x14ac:dyDescent="0.25">
      <c r="B603" s="69"/>
      <c r="D603" s="70"/>
      <c r="E603" s="65"/>
      <c r="F603" s="65"/>
      <c r="G603" s="65"/>
      <c r="H603" s="65"/>
      <c r="I603" s="65"/>
      <c r="J603" s="65"/>
      <c r="K603" s="65"/>
      <c r="L603" s="65"/>
      <c r="M603" s="68"/>
      <c r="N603" s="65"/>
      <c r="O603" s="65"/>
      <c r="P603" s="65"/>
      <c r="Q603" s="65"/>
      <c r="R603" s="65"/>
    </row>
    <row r="604" spans="2:18" ht="15" x14ac:dyDescent="0.25">
      <c r="B604" s="69"/>
      <c r="D604" s="70"/>
      <c r="E604" s="65"/>
      <c r="F604" s="65"/>
      <c r="G604" s="65"/>
      <c r="H604" s="65"/>
      <c r="I604" s="65"/>
      <c r="J604" s="65"/>
      <c r="K604" s="65"/>
      <c r="L604" s="65"/>
      <c r="M604" s="68"/>
      <c r="N604" s="65"/>
      <c r="O604" s="65"/>
      <c r="P604" s="65"/>
      <c r="Q604" s="65"/>
      <c r="R604" s="65"/>
    </row>
    <row r="605" spans="2:18" ht="15" x14ac:dyDescent="0.25">
      <c r="B605" s="69"/>
      <c r="D605" s="70"/>
      <c r="E605" s="65"/>
      <c r="F605" s="65"/>
      <c r="G605" s="65"/>
      <c r="H605" s="65"/>
      <c r="I605" s="65"/>
      <c r="J605" s="65"/>
      <c r="K605" s="65"/>
      <c r="L605" s="65"/>
      <c r="M605" s="68"/>
      <c r="N605" s="65"/>
      <c r="O605" s="65"/>
      <c r="P605" s="65"/>
      <c r="Q605" s="65"/>
      <c r="R605" s="65"/>
    </row>
    <row r="606" spans="2:18" ht="15" x14ac:dyDescent="0.25">
      <c r="B606" s="69"/>
      <c r="D606" s="70"/>
      <c r="E606" s="65"/>
      <c r="F606" s="65"/>
      <c r="G606" s="65"/>
      <c r="H606" s="65"/>
      <c r="I606" s="65"/>
      <c r="J606" s="65"/>
      <c r="K606" s="65"/>
      <c r="L606" s="65"/>
      <c r="M606" s="68"/>
      <c r="N606" s="65"/>
      <c r="O606" s="65"/>
      <c r="P606" s="65"/>
      <c r="Q606" s="65"/>
      <c r="R606" s="65"/>
    </row>
    <row r="607" spans="2:18" ht="15" x14ac:dyDescent="0.25">
      <c r="B607" s="69"/>
      <c r="D607" s="70"/>
      <c r="E607" s="65"/>
      <c r="F607" s="65"/>
      <c r="G607" s="65"/>
      <c r="H607" s="65"/>
      <c r="I607" s="65"/>
      <c r="J607" s="65"/>
      <c r="K607" s="65"/>
      <c r="L607" s="65"/>
      <c r="M607" s="68"/>
      <c r="N607" s="65"/>
      <c r="O607" s="65"/>
      <c r="P607" s="65"/>
      <c r="Q607" s="65"/>
      <c r="R607" s="65"/>
    </row>
    <row r="608" spans="2:18" ht="15" x14ac:dyDescent="0.25">
      <c r="B608" s="69"/>
      <c r="D608" s="70"/>
      <c r="E608" s="65"/>
      <c r="F608" s="65"/>
      <c r="G608" s="65"/>
      <c r="H608" s="65"/>
      <c r="I608" s="65"/>
      <c r="J608" s="65"/>
      <c r="K608" s="65"/>
      <c r="L608" s="65"/>
      <c r="M608" s="68"/>
      <c r="N608" s="65"/>
      <c r="O608" s="65"/>
      <c r="P608" s="65"/>
      <c r="Q608" s="65"/>
      <c r="R608" s="65"/>
    </row>
    <row r="609" spans="2:18" ht="15" x14ac:dyDescent="0.25">
      <c r="B609" s="69"/>
      <c r="D609" s="70"/>
      <c r="E609" s="65"/>
      <c r="F609" s="65"/>
      <c r="G609" s="65"/>
      <c r="H609" s="65"/>
      <c r="I609" s="65"/>
      <c r="J609" s="65"/>
      <c r="K609" s="65"/>
      <c r="L609" s="65"/>
      <c r="M609" s="68"/>
      <c r="N609" s="65"/>
      <c r="O609" s="65"/>
      <c r="P609" s="65"/>
      <c r="Q609" s="65"/>
      <c r="R609" s="65"/>
    </row>
    <row r="610" spans="2:18" ht="15" x14ac:dyDescent="0.25">
      <c r="B610" s="69"/>
      <c r="D610" s="70"/>
      <c r="E610" s="65"/>
      <c r="F610" s="65"/>
      <c r="G610" s="65"/>
      <c r="H610" s="65"/>
      <c r="I610" s="65"/>
      <c r="J610" s="65"/>
      <c r="K610" s="65"/>
      <c r="L610" s="65"/>
      <c r="M610" s="68"/>
      <c r="N610" s="65"/>
      <c r="O610" s="65"/>
      <c r="P610" s="65"/>
      <c r="Q610" s="65"/>
      <c r="R610" s="65"/>
    </row>
    <row r="611" spans="2:18" ht="15" x14ac:dyDescent="0.25">
      <c r="B611" s="69"/>
      <c r="D611" s="70"/>
      <c r="E611" s="65"/>
      <c r="F611" s="65"/>
      <c r="G611" s="65"/>
      <c r="H611" s="65"/>
      <c r="I611" s="65"/>
      <c r="J611" s="65"/>
      <c r="K611" s="65"/>
      <c r="L611" s="65"/>
      <c r="M611" s="68"/>
      <c r="N611" s="65"/>
      <c r="O611" s="65"/>
      <c r="P611" s="65"/>
      <c r="Q611" s="65"/>
      <c r="R611" s="65"/>
    </row>
    <row r="612" spans="2:18" ht="15" x14ac:dyDescent="0.25">
      <c r="B612" s="69"/>
      <c r="D612" s="70"/>
      <c r="E612" s="65"/>
      <c r="F612" s="65"/>
      <c r="G612" s="65"/>
      <c r="H612" s="65"/>
      <c r="I612" s="65"/>
      <c r="J612" s="65"/>
      <c r="K612" s="65"/>
      <c r="L612" s="65"/>
      <c r="M612" s="68"/>
      <c r="N612" s="65"/>
      <c r="O612" s="65"/>
      <c r="P612" s="65"/>
      <c r="Q612" s="65"/>
      <c r="R612" s="65"/>
    </row>
    <row r="613" spans="2:18" ht="15" x14ac:dyDescent="0.25">
      <c r="B613" s="69"/>
      <c r="D613" s="70"/>
      <c r="E613" s="65"/>
      <c r="F613" s="65"/>
      <c r="G613" s="65"/>
      <c r="H613" s="65"/>
      <c r="I613" s="65"/>
      <c r="J613" s="65"/>
      <c r="K613" s="65"/>
      <c r="L613" s="65"/>
      <c r="M613" s="68"/>
      <c r="N613" s="65"/>
      <c r="O613" s="65"/>
      <c r="P613" s="65"/>
      <c r="Q613" s="65"/>
      <c r="R613" s="65"/>
    </row>
    <row r="614" spans="2:18" ht="15" x14ac:dyDescent="0.25">
      <c r="B614" s="69"/>
      <c r="D614" s="70"/>
      <c r="E614" s="65"/>
      <c r="F614" s="65"/>
      <c r="G614" s="65"/>
      <c r="H614" s="65"/>
      <c r="I614" s="65"/>
      <c r="J614" s="65"/>
      <c r="K614" s="65"/>
      <c r="L614" s="65"/>
      <c r="M614" s="68"/>
      <c r="N614" s="65"/>
      <c r="O614" s="65"/>
      <c r="P614" s="65"/>
      <c r="Q614" s="65"/>
      <c r="R614" s="65"/>
    </row>
    <row r="615" spans="2:18" ht="15" x14ac:dyDescent="0.25">
      <c r="B615" s="69"/>
      <c r="D615" s="70"/>
      <c r="E615" s="65"/>
      <c r="F615" s="65"/>
      <c r="G615" s="65"/>
      <c r="H615" s="65"/>
      <c r="I615" s="65"/>
      <c r="J615" s="65"/>
      <c r="K615" s="65"/>
      <c r="L615" s="65"/>
      <c r="M615" s="68"/>
      <c r="N615" s="65"/>
      <c r="O615" s="65"/>
      <c r="P615" s="65"/>
      <c r="Q615" s="65"/>
      <c r="R615" s="65"/>
    </row>
    <row r="616" spans="2:18" ht="15" x14ac:dyDescent="0.25">
      <c r="B616" s="69"/>
      <c r="D616" s="70"/>
      <c r="E616" s="65"/>
      <c r="F616" s="65"/>
      <c r="G616" s="65"/>
      <c r="H616" s="65"/>
      <c r="I616" s="65"/>
      <c r="J616" s="65"/>
      <c r="K616" s="65"/>
      <c r="L616" s="65"/>
      <c r="M616" s="68"/>
      <c r="N616" s="65"/>
      <c r="O616" s="65"/>
      <c r="P616" s="65"/>
      <c r="Q616" s="65"/>
      <c r="R616" s="65"/>
    </row>
    <row r="617" spans="2:18" ht="15" x14ac:dyDescent="0.25">
      <c r="B617" s="69"/>
      <c r="D617" s="70"/>
      <c r="E617" s="65"/>
      <c r="F617" s="65"/>
      <c r="G617" s="65"/>
      <c r="H617" s="65"/>
      <c r="I617" s="65"/>
      <c r="J617" s="65"/>
      <c r="K617" s="65"/>
      <c r="L617" s="65"/>
      <c r="M617" s="68"/>
      <c r="N617" s="65"/>
      <c r="O617" s="65"/>
      <c r="P617" s="65"/>
      <c r="Q617" s="65"/>
      <c r="R617" s="65"/>
    </row>
    <row r="618" spans="2:18" ht="15" x14ac:dyDescent="0.25">
      <c r="B618" s="69"/>
      <c r="D618" s="70"/>
      <c r="E618" s="65"/>
      <c r="F618" s="65"/>
      <c r="G618" s="65"/>
      <c r="H618" s="65"/>
      <c r="I618" s="65"/>
      <c r="J618" s="65"/>
      <c r="K618" s="65"/>
      <c r="L618" s="65"/>
      <c r="M618" s="68"/>
      <c r="N618" s="65"/>
      <c r="O618" s="65"/>
      <c r="P618" s="65"/>
      <c r="Q618" s="65"/>
      <c r="R618" s="65"/>
    </row>
    <row r="619" spans="2:18" ht="15" x14ac:dyDescent="0.25">
      <c r="B619" s="69"/>
      <c r="D619" s="70"/>
      <c r="E619" s="65"/>
      <c r="F619" s="65"/>
      <c r="G619" s="65"/>
      <c r="H619" s="65"/>
      <c r="I619" s="65"/>
      <c r="J619" s="65"/>
      <c r="K619" s="65"/>
      <c r="L619" s="65"/>
      <c r="M619" s="68"/>
      <c r="N619" s="65"/>
      <c r="O619" s="65"/>
      <c r="P619" s="65"/>
      <c r="Q619" s="65"/>
      <c r="R619" s="65"/>
    </row>
    <row r="620" spans="2:18" ht="15" x14ac:dyDescent="0.25">
      <c r="B620" s="69"/>
      <c r="D620" s="70"/>
      <c r="E620" s="65"/>
      <c r="F620" s="65"/>
      <c r="G620" s="65"/>
      <c r="H620" s="65"/>
      <c r="I620" s="65"/>
      <c r="J620" s="65"/>
      <c r="K620" s="65"/>
      <c r="L620" s="65"/>
      <c r="M620" s="68"/>
      <c r="N620" s="65"/>
      <c r="O620" s="65"/>
      <c r="P620" s="65"/>
      <c r="Q620" s="65"/>
      <c r="R620" s="65"/>
    </row>
    <row r="621" spans="2:18" ht="15" x14ac:dyDescent="0.25">
      <c r="B621" s="69"/>
      <c r="D621" s="70"/>
      <c r="E621" s="65"/>
      <c r="F621" s="65"/>
      <c r="G621" s="65"/>
      <c r="H621" s="65"/>
      <c r="I621" s="65"/>
      <c r="J621" s="65"/>
      <c r="K621" s="65"/>
      <c r="L621" s="65"/>
      <c r="M621" s="68"/>
      <c r="N621" s="65"/>
      <c r="O621" s="65"/>
      <c r="P621" s="65"/>
      <c r="Q621" s="65"/>
      <c r="R621" s="65"/>
    </row>
    <row r="622" spans="2:18" ht="15" x14ac:dyDescent="0.25">
      <c r="B622" s="69"/>
      <c r="D622" s="70"/>
      <c r="E622" s="65"/>
      <c r="F622" s="65"/>
      <c r="G622" s="65"/>
      <c r="H622" s="65"/>
      <c r="I622" s="65"/>
      <c r="J622" s="65"/>
      <c r="K622" s="65"/>
      <c r="L622" s="65"/>
      <c r="M622" s="68"/>
      <c r="N622" s="65"/>
      <c r="O622" s="65"/>
      <c r="P622" s="65"/>
      <c r="Q622" s="65"/>
      <c r="R622" s="65"/>
    </row>
    <row r="623" spans="2:18" ht="15" x14ac:dyDescent="0.25">
      <c r="B623" s="69"/>
      <c r="D623" s="70"/>
      <c r="E623" s="65"/>
      <c r="F623" s="65"/>
      <c r="G623" s="65"/>
      <c r="H623" s="65"/>
      <c r="I623" s="65"/>
      <c r="J623" s="65"/>
      <c r="K623" s="65"/>
      <c r="L623" s="65"/>
      <c r="M623" s="68"/>
      <c r="N623" s="65"/>
      <c r="O623" s="65"/>
      <c r="P623" s="65"/>
      <c r="Q623" s="65"/>
      <c r="R623" s="65"/>
    </row>
    <row r="624" spans="2:18" ht="15" x14ac:dyDescent="0.25">
      <c r="B624" s="69"/>
      <c r="D624" s="70"/>
      <c r="E624" s="65"/>
      <c r="F624" s="65"/>
      <c r="G624" s="65"/>
      <c r="H624" s="65"/>
      <c r="I624" s="65"/>
      <c r="J624" s="65"/>
      <c r="K624" s="65"/>
      <c r="L624" s="65"/>
      <c r="M624" s="68"/>
      <c r="N624" s="65"/>
      <c r="O624" s="65"/>
      <c r="P624" s="65"/>
      <c r="Q624" s="65"/>
      <c r="R624" s="65"/>
    </row>
    <row r="625" spans="2:18" ht="15" x14ac:dyDescent="0.25">
      <c r="B625" s="69"/>
      <c r="D625" s="70"/>
      <c r="E625" s="65"/>
      <c r="F625" s="65"/>
      <c r="G625" s="65"/>
      <c r="H625" s="65"/>
      <c r="I625" s="65"/>
      <c r="J625" s="65"/>
      <c r="K625" s="65"/>
      <c r="L625" s="65"/>
      <c r="M625" s="68"/>
      <c r="N625" s="65"/>
      <c r="O625" s="65"/>
      <c r="P625" s="65"/>
      <c r="Q625" s="65"/>
      <c r="R625" s="65"/>
    </row>
    <row r="626" spans="2:18" ht="15" x14ac:dyDescent="0.25">
      <c r="B626" s="69"/>
      <c r="D626" s="70"/>
      <c r="E626" s="65"/>
      <c r="F626" s="65"/>
      <c r="G626" s="65"/>
      <c r="H626" s="65"/>
      <c r="I626" s="65"/>
      <c r="J626" s="65"/>
      <c r="K626" s="65"/>
      <c r="L626" s="65"/>
      <c r="M626" s="68"/>
      <c r="N626" s="65"/>
      <c r="O626" s="65"/>
      <c r="P626" s="65"/>
      <c r="Q626" s="65"/>
      <c r="R626" s="65"/>
    </row>
    <row r="627" spans="2:18" ht="15" x14ac:dyDescent="0.25">
      <c r="B627" s="69"/>
      <c r="D627" s="70"/>
      <c r="E627" s="65"/>
      <c r="F627" s="65"/>
      <c r="G627" s="65"/>
      <c r="H627" s="65"/>
      <c r="I627" s="65"/>
      <c r="J627" s="65"/>
      <c r="K627" s="65"/>
      <c r="L627" s="65"/>
      <c r="M627" s="68"/>
      <c r="N627" s="65"/>
      <c r="O627" s="65"/>
      <c r="P627" s="65"/>
      <c r="Q627" s="65"/>
      <c r="R627" s="65"/>
    </row>
    <row r="628" spans="2:18" ht="15" x14ac:dyDescent="0.25">
      <c r="B628" s="69"/>
      <c r="D628" s="70"/>
      <c r="E628" s="65"/>
      <c r="F628" s="65"/>
      <c r="G628" s="65"/>
      <c r="H628" s="65"/>
      <c r="I628" s="65"/>
      <c r="J628" s="65"/>
      <c r="K628" s="65"/>
      <c r="L628" s="65"/>
      <c r="M628" s="68"/>
      <c r="N628" s="65"/>
      <c r="O628" s="65"/>
      <c r="P628" s="65"/>
      <c r="Q628" s="65"/>
      <c r="R628" s="65"/>
    </row>
    <row r="629" spans="2:18" ht="15" x14ac:dyDescent="0.25">
      <c r="B629" s="69"/>
      <c r="D629" s="70"/>
      <c r="E629" s="65"/>
      <c r="F629" s="65"/>
      <c r="G629" s="65"/>
      <c r="H629" s="65"/>
      <c r="I629" s="65"/>
      <c r="J629" s="65"/>
      <c r="K629" s="65"/>
      <c r="L629" s="65"/>
      <c r="M629" s="68"/>
      <c r="N629" s="65"/>
      <c r="O629" s="65"/>
      <c r="P629" s="65"/>
      <c r="Q629" s="65"/>
      <c r="R629" s="65"/>
    </row>
    <row r="630" spans="2:18" ht="15" x14ac:dyDescent="0.25">
      <c r="B630" s="69"/>
      <c r="D630" s="70"/>
      <c r="E630" s="65"/>
      <c r="F630" s="65"/>
      <c r="G630" s="65"/>
      <c r="H630" s="65"/>
      <c r="I630" s="65"/>
      <c r="J630" s="65"/>
      <c r="K630" s="65"/>
      <c r="L630" s="65"/>
      <c r="M630" s="68"/>
      <c r="N630" s="65"/>
      <c r="O630" s="65"/>
      <c r="P630" s="65"/>
      <c r="Q630" s="65"/>
      <c r="R630" s="65"/>
    </row>
    <row r="631" spans="2:18" ht="15" x14ac:dyDescent="0.25">
      <c r="B631" s="69"/>
      <c r="D631" s="70"/>
      <c r="E631" s="65"/>
      <c r="F631" s="65"/>
      <c r="G631" s="65"/>
      <c r="H631" s="65"/>
      <c r="I631" s="65"/>
      <c r="J631" s="65"/>
      <c r="K631" s="65"/>
      <c r="L631" s="65"/>
      <c r="M631" s="68"/>
      <c r="N631" s="65"/>
      <c r="O631" s="65"/>
      <c r="P631" s="65"/>
      <c r="Q631" s="65"/>
      <c r="R631" s="65"/>
    </row>
    <row r="632" spans="2:18" ht="15" x14ac:dyDescent="0.25">
      <c r="B632" s="69"/>
      <c r="D632" s="70"/>
      <c r="E632" s="65"/>
      <c r="F632" s="65"/>
      <c r="G632" s="65"/>
      <c r="H632" s="65"/>
      <c r="I632" s="65"/>
      <c r="J632" s="65"/>
      <c r="K632" s="65"/>
      <c r="L632" s="65"/>
      <c r="M632" s="68"/>
      <c r="N632" s="65"/>
      <c r="O632" s="65"/>
      <c r="P632" s="65"/>
      <c r="Q632" s="65"/>
      <c r="R632" s="65"/>
    </row>
    <row r="633" spans="2:18" ht="15" x14ac:dyDescent="0.25">
      <c r="B633" s="69"/>
      <c r="D633" s="70"/>
      <c r="E633" s="65"/>
      <c r="F633" s="65"/>
      <c r="G633" s="65"/>
      <c r="H633" s="65"/>
      <c r="I633" s="65"/>
      <c r="J633" s="65"/>
      <c r="K633" s="65"/>
      <c r="L633" s="65"/>
      <c r="M633" s="68"/>
      <c r="N633" s="65"/>
      <c r="O633" s="65"/>
      <c r="P633" s="65"/>
      <c r="Q633" s="65"/>
      <c r="R633" s="65"/>
    </row>
    <row r="634" spans="2:18" ht="15" x14ac:dyDescent="0.25">
      <c r="B634" s="69"/>
      <c r="D634" s="70"/>
      <c r="E634" s="65"/>
      <c r="F634" s="65"/>
      <c r="G634" s="65"/>
      <c r="H634" s="65"/>
      <c r="I634" s="65"/>
      <c r="J634" s="65"/>
      <c r="K634" s="65"/>
      <c r="L634" s="65"/>
      <c r="M634" s="68"/>
      <c r="N634" s="65"/>
      <c r="O634" s="65"/>
      <c r="P634" s="65"/>
      <c r="Q634" s="65"/>
      <c r="R634" s="65"/>
    </row>
    <row r="635" spans="2:18" ht="15" x14ac:dyDescent="0.25">
      <c r="B635" s="69"/>
      <c r="D635" s="70"/>
      <c r="E635" s="65"/>
      <c r="F635" s="65"/>
      <c r="G635" s="65"/>
      <c r="H635" s="65"/>
      <c r="I635" s="65"/>
      <c r="J635" s="65"/>
      <c r="K635" s="65"/>
      <c r="L635" s="65"/>
      <c r="M635" s="68"/>
      <c r="N635" s="65"/>
      <c r="O635" s="65"/>
      <c r="P635" s="65"/>
      <c r="Q635" s="65"/>
      <c r="R635" s="65"/>
    </row>
    <row r="636" spans="2:18" ht="15" x14ac:dyDescent="0.25">
      <c r="B636" s="69"/>
      <c r="D636" s="70"/>
      <c r="E636" s="65"/>
      <c r="F636" s="65"/>
      <c r="G636" s="65"/>
      <c r="H636" s="65"/>
      <c r="I636" s="65"/>
      <c r="J636" s="65"/>
      <c r="K636" s="65"/>
      <c r="L636" s="65"/>
      <c r="M636" s="68"/>
      <c r="N636" s="65"/>
      <c r="O636" s="65"/>
      <c r="P636" s="65"/>
      <c r="Q636" s="65"/>
      <c r="R636" s="65"/>
    </row>
    <row r="637" spans="2:18" ht="15" x14ac:dyDescent="0.25">
      <c r="B637" s="69"/>
      <c r="D637" s="70"/>
      <c r="E637" s="65"/>
      <c r="F637" s="65"/>
      <c r="G637" s="65"/>
      <c r="H637" s="65"/>
      <c r="I637" s="65"/>
      <c r="J637" s="65"/>
      <c r="K637" s="65"/>
      <c r="L637" s="65"/>
      <c r="M637" s="68"/>
      <c r="N637" s="65"/>
      <c r="O637" s="65"/>
      <c r="P637" s="65"/>
      <c r="Q637" s="65"/>
      <c r="R637" s="65"/>
    </row>
    <row r="638" spans="2:18" ht="15" x14ac:dyDescent="0.25">
      <c r="B638" s="69"/>
      <c r="D638" s="70"/>
      <c r="E638" s="65"/>
      <c r="F638" s="65"/>
      <c r="G638" s="65"/>
      <c r="H638" s="65"/>
      <c r="I638" s="65"/>
      <c r="J638" s="65"/>
      <c r="K638" s="65"/>
      <c r="L638" s="65"/>
      <c r="M638" s="68"/>
      <c r="N638" s="65"/>
      <c r="O638" s="65"/>
      <c r="P638" s="65"/>
      <c r="Q638" s="65"/>
      <c r="R638" s="65"/>
    </row>
    <row r="639" spans="2:18" ht="15" x14ac:dyDescent="0.25">
      <c r="B639" s="69"/>
      <c r="D639" s="70"/>
      <c r="E639" s="65"/>
      <c r="F639" s="65"/>
      <c r="G639" s="65"/>
      <c r="H639" s="65"/>
      <c r="I639" s="65"/>
      <c r="J639" s="65"/>
      <c r="K639" s="65"/>
      <c r="L639" s="65"/>
      <c r="M639" s="68"/>
      <c r="N639" s="65"/>
      <c r="O639" s="65"/>
      <c r="P639" s="65"/>
      <c r="Q639" s="65"/>
      <c r="R639" s="65"/>
    </row>
    <row r="640" spans="2:18" ht="15" x14ac:dyDescent="0.25">
      <c r="B640" s="69"/>
      <c r="D640" s="70"/>
      <c r="E640" s="65"/>
      <c r="F640" s="65"/>
      <c r="G640" s="65"/>
      <c r="H640" s="65"/>
      <c r="I640" s="65"/>
      <c r="J640" s="65"/>
      <c r="K640" s="65"/>
      <c r="L640" s="65"/>
      <c r="M640" s="68"/>
      <c r="N640" s="65"/>
      <c r="O640" s="65"/>
      <c r="P640" s="65"/>
      <c r="Q640" s="65"/>
      <c r="R640" s="65"/>
    </row>
    <row r="641" spans="2:18" ht="15" x14ac:dyDescent="0.25">
      <c r="B641" s="69"/>
      <c r="D641" s="70"/>
      <c r="E641" s="65"/>
      <c r="F641" s="65"/>
      <c r="G641" s="65"/>
      <c r="H641" s="65"/>
      <c r="I641" s="65"/>
      <c r="J641" s="65"/>
      <c r="K641" s="65"/>
      <c r="L641" s="65"/>
      <c r="M641" s="68"/>
      <c r="N641" s="65"/>
      <c r="O641" s="65"/>
      <c r="P641" s="65"/>
      <c r="Q641" s="65"/>
      <c r="R641" s="65"/>
    </row>
    <row r="642" spans="2:18" ht="15" x14ac:dyDescent="0.25">
      <c r="B642" s="69"/>
      <c r="D642" s="70"/>
      <c r="E642" s="65"/>
      <c r="F642" s="65"/>
      <c r="G642" s="65"/>
      <c r="H642" s="65"/>
      <c r="I642" s="65"/>
      <c r="J642" s="65"/>
      <c r="K642" s="65"/>
      <c r="L642" s="65"/>
      <c r="M642" s="68"/>
      <c r="N642" s="65"/>
      <c r="O642" s="65"/>
      <c r="P642" s="65"/>
      <c r="Q642" s="65"/>
      <c r="R642" s="65"/>
    </row>
    <row r="643" spans="2:18" ht="15" x14ac:dyDescent="0.25">
      <c r="B643" s="69"/>
      <c r="D643" s="70"/>
      <c r="E643" s="65"/>
      <c r="F643" s="65"/>
      <c r="G643" s="65"/>
      <c r="H643" s="65"/>
      <c r="I643" s="65"/>
      <c r="J643" s="65"/>
      <c r="K643" s="65"/>
      <c r="L643" s="65"/>
      <c r="M643" s="68"/>
      <c r="N643" s="65"/>
      <c r="O643" s="65"/>
      <c r="P643" s="65"/>
      <c r="Q643" s="65"/>
      <c r="R643" s="65"/>
    </row>
    <row r="644" spans="2:18" ht="15" x14ac:dyDescent="0.25">
      <c r="B644" s="69"/>
      <c r="D644" s="70"/>
      <c r="E644" s="65"/>
      <c r="F644" s="65"/>
      <c r="G644" s="65"/>
      <c r="H644" s="65"/>
      <c r="I644" s="65"/>
      <c r="J644" s="65"/>
      <c r="K644" s="65"/>
      <c r="L644" s="65"/>
      <c r="M644" s="68"/>
      <c r="N644" s="65"/>
      <c r="O644" s="65"/>
      <c r="P644" s="65"/>
      <c r="Q644" s="65"/>
      <c r="R644" s="65"/>
    </row>
    <row r="645" spans="2:18" ht="15" x14ac:dyDescent="0.25">
      <c r="B645" s="69"/>
      <c r="D645" s="70"/>
      <c r="E645" s="65"/>
      <c r="F645" s="65"/>
      <c r="G645" s="65"/>
      <c r="H645" s="65"/>
      <c r="I645" s="65"/>
      <c r="J645" s="65"/>
      <c r="K645" s="65"/>
      <c r="L645" s="65"/>
      <c r="M645" s="68"/>
      <c r="N645" s="65"/>
      <c r="O645" s="65"/>
      <c r="P645" s="65"/>
      <c r="Q645" s="65"/>
      <c r="R645" s="65"/>
    </row>
    <row r="646" spans="2:18" ht="15" x14ac:dyDescent="0.25">
      <c r="B646" s="69"/>
      <c r="D646" s="70"/>
      <c r="E646" s="65"/>
      <c r="F646" s="65"/>
      <c r="G646" s="65"/>
      <c r="H646" s="65"/>
      <c r="I646" s="65"/>
      <c r="J646" s="65"/>
      <c r="K646" s="65"/>
      <c r="L646" s="65"/>
      <c r="M646" s="68"/>
      <c r="N646" s="65"/>
      <c r="O646" s="65"/>
      <c r="P646" s="65"/>
      <c r="Q646" s="65"/>
      <c r="R646" s="65"/>
    </row>
    <row r="647" spans="2:18" ht="15" x14ac:dyDescent="0.25">
      <c r="B647" s="69"/>
      <c r="D647" s="70"/>
      <c r="E647" s="65"/>
      <c r="F647" s="65"/>
      <c r="G647" s="65"/>
      <c r="H647" s="65"/>
      <c r="I647" s="65"/>
      <c r="J647" s="65"/>
      <c r="K647" s="65"/>
      <c r="L647" s="65"/>
      <c r="M647" s="68"/>
      <c r="N647" s="65"/>
      <c r="O647" s="65"/>
      <c r="P647" s="65"/>
      <c r="Q647" s="65"/>
      <c r="R647" s="65"/>
    </row>
    <row r="648" spans="2:18" ht="15" x14ac:dyDescent="0.25">
      <c r="B648" s="69"/>
      <c r="D648" s="70"/>
      <c r="E648" s="65"/>
      <c r="F648" s="65"/>
      <c r="G648" s="65"/>
      <c r="H648" s="65"/>
      <c r="I648" s="65"/>
      <c r="J648" s="65"/>
      <c r="K648" s="65"/>
      <c r="L648" s="65"/>
      <c r="M648" s="68"/>
      <c r="N648" s="65"/>
      <c r="O648" s="65"/>
      <c r="P648" s="65"/>
      <c r="Q648" s="65"/>
      <c r="R648" s="65"/>
    </row>
    <row r="649" spans="2:18" ht="15" x14ac:dyDescent="0.25">
      <c r="B649" s="69"/>
      <c r="D649" s="70"/>
      <c r="E649" s="65"/>
      <c r="F649" s="65"/>
      <c r="G649" s="65"/>
      <c r="H649" s="65"/>
      <c r="I649" s="65"/>
      <c r="J649" s="65"/>
      <c r="K649" s="65"/>
      <c r="L649" s="65"/>
      <c r="M649" s="68"/>
      <c r="N649" s="65"/>
      <c r="O649" s="65"/>
      <c r="P649" s="65"/>
      <c r="Q649" s="65"/>
      <c r="R649" s="65"/>
    </row>
    <row r="650" spans="2:18" ht="15" x14ac:dyDescent="0.25">
      <c r="B650" s="69"/>
      <c r="D650" s="70"/>
      <c r="E650" s="65"/>
      <c r="F650" s="65"/>
      <c r="G650" s="65"/>
      <c r="H650" s="65"/>
      <c r="I650" s="65"/>
      <c r="J650" s="65"/>
      <c r="K650" s="65"/>
      <c r="L650" s="65"/>
      <c r="M650" s="68"/>
      <c r="N650" s="65"/>
      <c r="O650" s="65"/>
      <c r="P650" s="65"/>
      <c r="Q650" s="65"/>
      <c r="R650" s="65"/>
    </row>
    <row r="651" spans="2:18" ht="15" x14ac:dyDescent="0.25">
      <c r="B651" s="69"/>
      <c r="D651" s="70"/>
      <c r="E651" s="65"/>
      <c r="F651" s="65"/>
      <c r="G651" s="65"/>
      <c r="H651" s="65"/>
      <c r="I651" s="65"/>
      <c r="J651" s="65"/>
      <c r="K651" s="65"/>
      <c r="L651" s="65"/>
      <c r="M651" s="68"/>
      <c r="N651" s="65"/>
      <c r="O651" s="65"/>
      <c r="P651" s="65"/>
      <c r="Q651" s="65"/>
      <c r="R651" s="65"/>
    </row>
    <row r="652" spans="2:18" ht="15" x14ac:dyDescent="0.25">
      <c r="B652" s="69"/>
      <c r="D652" s="70"/>
      <c r="E652" s="65"/>
      <c r="F652" s="65"/>
      <c r="G652" s="65"/>
      <c r="H652" s="65"/>
      <c r="I652" s="65"/>
      <c r="J652" s="65"/>
      <c r="K652" s="65"/>
      <c r="L652" s="65"/>
      <c r="M652" s="68"/>
      <c r="N652" s="65"/>
      <c r="O652" s="65"/>
      <c r="P652" s="65"/>
      <c r="Q652" s="65"/>
      <c r="R652" s="65"/>
    </row>
    <row r="653" spans="2:18" ht="15" x14ac:dyDescent="0.25">
      <c r="B653" s="69"/>
      <c r="D653" s="70"/>
      <c r="E653" s="65"/>
      <c r="F653" s="65"/>
      <c r="G653" s="65"/>
      <c r="H653" s="65"/>
      <c r="I653" s="65"/>
      <c r="J653" s="65"/>
      <c r="K653" s="65"/>
      <c r="L653" s="65"/>
      <c r="M653" s="68"/>
      <c r="N653" s="65"/>
      <c r="O653" s="65"/>
      <c r="P653" s="65"/>
      <c r="Q653" s="65"/>
      <c r="R653" s="65"/>
    </row>
    <row r="654" spans="2:18" ht="15" x14ac:dyDescent="0.25">
      <c r="B654" s="69"/>
      <c r="D654" s="70"/>
      <c r="E654" s="65"/>
      <c r="F654" s="65"/>
      <c r="G654" s="65"/>
      <c r="H654" s="65"/>
      <c r="I654" s="65"/>
      <c r="J654" s="65"/>
      <c r="K654" s="65"/>
      <c r="L654" s="65"/>
      <c r="M654" s="68"/>
      <c r="N654" s="65"/>
      <c r="O654" s="65"/>
      <c r="P654" s="65"/>
      <c r="Q654" s="65"/>
      <c r="R654" s="65"/>
    </row>
    <row r="655" spans="2:18" ht="15" x14ac:dyDescent="0.25">
      <c r="B655" s="69"/>
      <c r="D655" s="70"/>
      <c r="E655" s="65"/>
      <c r="F655" s="65"/>
      <c r="G655" s="65"/>
      <c r="H655" s="65"/>
      <c r="I655" s="65"/>
      <c r="J655" s="65"/>
      <c r="K655" s="65"/>
      <c r="L655" s="65"/>
      <c r="M655" s="68"/>
      <c r="N655" s="65"/>
      <c r="O655" s="65"/>
      <c r="P655" s="65"/>
      <c r="Q655" s="65"/>
      <c r="R655" s="65"/>
    </row>
    <row r="656" spans="2:18" ht="15" x14ac:dyDescent="0.25">
      <c r="B656" s="69"/>
      <c r="D656" s="70"/>
      <c r="E656" s="65"/>
      <c r="F656" s="65"/>
      <c r="G656" s="65"/>
      <c r="H656" s="65"/>
      <c r="I656" s="65"/>
      <c r="J656" s="65"/>
      <c r="K656" s="65"/>
      <c r="L656" s="65"/>
      <c r="M656" s="68"/>
      <c r="N656" s="65"/>
      <c r="O656" s="65"/>
      <c r="P656" s="65"/>
      <c r="Q656" s="65"/>
      <c r="R656" s="65"/>
    </row>
    <row r="657" spans="2:18" ht="15" x14ac:dyDescent="0.25">
      <c r="B657" s="69"/>
      <c r="D657" s="70"/>
      <c r="E657" s="65"/>
      <c r="F657" s="65"/>
      <c r="G657" s="65"/>
      <c r="H657" s="65"/>
      <c r="I657" s="65"/>
      <c r="J657" s="65"/>
      <c r="K657" s="65"/>
      <c r="L657" s="65"/>
      <c r="M657" s="68"/>
      <c r="N657" s="65"/>
      <c r="O657" s="65"/>
      <c r="P657" s="65"/>
      <c r="Q657" s="65"/>
      <c r="R657" s="65"/>
    </row>
    <row r="658" spans="2:18" ht="15" x14ac:dyDescent="0.25">
      <c r="B658" s="69"/>
      <c r="D658" s="70"/>
      <c r="E658" s="65"/>
      <c r="F658" s="65"/>
      <c r="G658" s="65"/>
      <c r="H658" s="65"/>
      <c r="I658" s="65"/>
      <c r="J658" s="65"/>
      <c r="K658" s="65"/>
      <c r="L658" s="65"/>
      <c r="M658" s="68"/>
      <c r="N658" s="65"/>
      <c r="O658" s="65"/>
      <c r="P658" s="65"/>
      <c r="Q658" s="65"/>
      <c r="R658" s="65"/>
    </row>
    <row r="659" spans="2:18" ht="15" x14ac:dyDescent="0.25">
      <c r="B659" s="69"/>
      <c r="D659" s="70"/>
      <c r="E659" s="65"/>
      <c r="F659" s="65"/>
      <c r="G659" s="65"/>
      <c r="H659" s="65"/>
      <c r="I659" s="65"/>
      <c r="J659" s="65"/>
      <c r="K659" s="65"/>
      <c r="L659" s="65"/>
      <c r="M659" s="68"/>
      <c r="N659" s="65"/>
      <c r="O659" s="65"/>
      <c r="P659" s="65"/>
      <c r="Q659" s="65"/>
      <c r="R659" s="65"/>
    </row>
    <row r="660" spans="2:18" ht="15" x14ac:dyDescent="0.25">
      <c r="B660" s="69"/>
      <c r="D660" s="70"/>
      <c r="E660" s="65"/>
      <c r="F660" s="65"/>
      <c r="G660" s="65"/>
      <c r="H660" s="65"/>
      <c r="I660" s="65"/>
      <c r="J660" s="65"/>
      <c r="K660" s="65"/>
      <c r="L660" s="65"/>
      <c r="M660" s="68"/>
      <c r="N660" s="65"/>
      <c r="O660" s="65"/>
      <c r="P660" s="65"/>
      <c r="Q660" s="65"/>
      <c r="R660" s="65"/>
    </row>
    <row r="661" spans="2:18" ht="15" x14ac:dyDescent="0.25">
      <c r="B661" s="69"/>
      <c r="D661" s="70"/>
      <c r="E661" s="65"/>
      <c r="F661" s="65"/>
      <c r="G661" s="65"/>
      <c r="H661" s="65"/>
      <c r="I661" s="65"/>
      <c r="J661" s="65"/>
      <c r="K661" s="65"/>
      <c r="L661" s="65"/>
      <c r="M661" s="68"/>
      <c r="N661" s="65"/>
      <c r="O661" s="65"/>
      <c r="P661" s="65"/>
      <c r="Q661" s="65"/>
      <c r="R661" s="65"/>
    </row>
    <row r="662" spans="2:18" ht="15" x14ac:dyDescent="0.25">
      <c r="B662" s="69"/>
      <c r="D662" s="70"/>
      <c r="E662" s="65"/>
      <c r="F662" s="65"/>
      <c r="G662" s="65"/>
      <c r="H662" s="65"/>
      <c r="I662" s="65"/>
      <c r="J662" s="65"/>
      <c r="K662" s="65"/>
      <c r="L662" s="65"/>
      <c r="M662" s="68"/>
      <c r="N662" s="65"/>
      <c r="O662" s="65"/>
      <c r="P662" s="65"/>
      <c r="Q662" s="65"/>
      <c r="R662" s="65"/>
    </row>
    <row r="663" spans="2:18" ht="15" x14ac:dyDescent="0.25">
      <c r="B663" s="69"/>
      <c r="D663" s="70"/>
      <c r="E663" s="65"/>
      <c r="F663" s="65"/>
      <c r="G663" s="65"/>
      <c r="H663" s="65"/>
      <c r="I663" s="65"/>
      <c r="J663" s="65"/>
      <c r="K663" s="65"/>
      <c r="L663" s="65"/>
      <c r="M663" s="68"/>
      <c r="N663" s="65"/>
      <c r="O663" s="65"/>
      <c r="P663" s="65"/>
      <c r="Q663" s="65"/>
      <c r="R663" s="65"/>
    </row>
    <row r="664" spans="2:18" ht="15" x14ac:dyDescent="0.25">
      <c r="B664" s="69"/>
      <c r="D664" s="70"/>
      <c r="E664" s="65"/>
      <c r="F664" s="65"/>
      <c r="G664" s="65"/>
      <c r="H664" s="65"/>
      <c r="I664" s="65"/>
      <c r="J664" s="65"/>
      <c r="K664" s="65"/>
      <c r="L664" s="65"/>
      <c r="M664" s="68"/>
      <c r="N664" s="65"/>
      <c r="O664" s="65"/>
      <c r="P664" s="65"/>
      <c r="Q664" s="65"/>
      <c r="R664" s="65"/>
    </row>
    <row r="665" spans="2:18" ht="15" x14ac:dyDescent="0.25">
      <c r="B665" s="69"/>
      <c r="D665" s="70"/>
      <c r="E665" s="65"/>
      <c r="F665" s="65"/>
      <c r="G665" s="65"/>
      <c r="H665" s="65"/>
      <c r="I665" s="65"/>
      <c r="J665" s="65"/>
      <c r="K665" s="65"/>
      <c r="L665" s="65"/>
      <c r="M665" s="68"/>
      <c r="N665" s="65"/>
      <c r="O665" s="65"/>
      <c r="P665" s="65"/>
      <c r="Q665" s="65"/>
      <c r="R665" s="65"/>
    </row>
    <row r="666" spans="2:18" ht="15" x14ac:dyDescent="0.25">
      <c r="B666" s="69"/>
      <c r="D666" s="70"/>
      <c r="E666" s="65"/>
      <c r="F666" s="65"/>
      <c r="G666" s="65"/>
      <c r="H666" s="65"/>
      <c r="I666" s="65"/>
      <c r="J666" s="65"/>
      <c r="K666" s="65"/>
      <c r="L666" s="65"/>
      <c r="M666" s="68"/>
      <c r="N666" s="65"/>
      <c r="O666" s="65"/>
      <c r="P666" s="65"/>
      <c r="Q666" s="65"/>
      <c r="R666" s="65"/>
    </row>
    <row r="667" spans="2:18" ht="15" x14ac:dyDescent="0.25">
      <c r="B667" s="69"/>
      <c r="D667" s="70"/>
      <c r="E667" s="65"/>
      <c r="F667" s="65"/>
      <c r="G667" s="65"/>
      <c r="H667" s="65"/>
      <c r="I667" s="65"/>
      <c r="J667" s="65"/>
      <c r="K667" s="65"/>
      <c r="L667" s="65"/>
      <c r="M667" s="68"/>
      <c r="N667" s="65"/>
      <c r="O667" s="65"/>
      <c r="P667" s="65"/>
      <c r="Q667" s="65"/>
      <c r="R667" s="65"/>
    </row>
    <row r="668" spans="2:18" ht="15" x14ac:dyDescent="0.25">
      <c r="B668" s="69"/>
      <c r="D668" s="70"/>
      <c r="E668" s="65"/>
      <c r="F668" s="65"/>
      <c r="G668" s="65"/>
      <c r="H668" s="65"/>
      <c r="I668" s="65"/>
      <c r="J668" s="65"/>
      <c r="K668" s="65"/>
      <c r="L668" s="65"/>
      <c r="M668" s="68"/>
      <c r="N668" s="65"/>
      <c r="O668" s="65"/>
      <c r="P668" s="65"/>
      <c r="Q668" s="65"/>
      <c r="R668" s="65"/>
    </row>
    <row r="669" spans="2:18" ht="15" x14ac:dyDescent="0.25">
      <c r="B669" s="69"/>
      <c r="D669" s="70"/>
      <c r="E669" s="65"/>
      <c r="F669" s="65"/>
      <c r="G669" s="65"/>
      <c r="H669" s="65"/>
      <c r="I669" s="65"/>
      <c r="J669" s="65"/>
      <c r="K669" s="65"/>
      <c r="L669" s="65"/>
      <c r="M669" s="68"/>
      <c r="N669" s="65"/>
      <c r="O669" s="65"/>
      <c r="P669" s="65"/>
      <c r="Q669" s="65"/>
      <c r="R669" s="65"/>
    </row>
    <row r="670" spans="2:18" ht="15" x14ac:dyDescent="0.25">
      <c r="B670" s="69"/>
      <c r="D670" s="70"/>
      <c r="E670" s="65"/>
      <c r="F670" s="65"/>
      <c r="G670" s="65"/>
      <c r="H670" s="65"/>
      <c r="I670" s="65"/>
      <c r="J670" s="65"/>
      <c r="K670" s="65"/>
      <c r="L670" s="65"/>
      <c r="M670" s="68"/>
      <c r="N670" s="65"/>
      <c r="O670" s="65"/>
      <c r="P670" s="65"/>
      <c r="Q670" s="65"/>
      <c r="R670" s="65"/>
    </row>
    <row r="671" spans="2:18" ht="15" x14ac:dyDescent="0.25">
      <c r="B671" s="69"/>
      <c r="D671" s="70"/>
      <c r="E671" s="65"/>
      <c r="F671" s="65"/>
      <c r="G671" s="65"/>
      <c r="H671" s="65"/>
      <c r="I671" s="65"/>
      <c r="J671" s="65"/>
      <c r="K671" s="65"/>
      <c r="L671" s="65"/>
      <c r="M671" s="68"/>
      <c r="N671" s="65"/>
      <c r="O671" s="65"/>
      <c r="P671" s="65"/>
      <c r="Q671" s="65"/>
      <c r="R671" s="65"/>
    </row>
    <row r="672" spans="2:18" ht="15" x14ac:dyDescent="0.25">
      <c r="B672" s="69"/>
      <c r="D672" s="70"/>
      <c r="E672" s="65"/>
      <c r="F672" s="65"/>
      <c r="G672" s="65"/>
      <c r="H672" s="65"/>
      <c r="I672" s="65"/>
      <c r="J672" s="65"/>
      <c r="K672" s="65"/>
      <c r="L672" s="65"/>
      <c r="M672" s="68"/>
      <c r="N672" s="65"/>
      <c r="O672" s="65"/>
      <c r="P672" s="65"/>
      <c r="Q672" s="65"/>
      <c r="R672" s="65"/>
    </row>
    <row r="673" spans="2:18" ht="15" x14ac:dyDescent="0.25">
      <c r="B673" s="69"/>
      <c r="D673" s="70"/>
      <c r="E673" s="65"/>
      <c r="F673" s="65"/>
      <c r="G673" s="65"/>
      <c r="H673" s="65"/>
      <c r="I673" s="65"/>
      <c r="J673" s="65"/>
      <c r="K673" s="65"/>
      <c r="L673" s="65"/>
      <c r="M673" s="68"/>
      <c r="N673" s="65"/>
      <c r="O673" s="65"/>
      <c r="P673" s="65"/>
      <c r="Q673" s="65"/>
      <c r="R673" s="65"/>
    </row>
    <row r="674" spans="2:18" ht="15" x14ac:dyDescent="0.25">
      <c r="B674" s="69"/>
      <c r="D674" s="70"/>
      <c r="E674" s="65"/>
      <c r="F674" s="65"/>
      <c r="G674" s="65"/>
      <c r="H674" s="65"/>
      <c r="I674" s="65"/>
      <c r="J674" s="65"/>
      <c r="K674" s="65"/>
      <c r="L674" s="65"/>
      <c r="M674" s="68"/>
      <c r="N674" s="65"/>
      <c r="O674" s="65"/>
      <c r="P674" s="65"/>
      <c r="Q674" s="65"/>
      <c r="R674" s="65"/>
    </row>
    <row r="675" spans="2:18" ht="15" x14ac:dyDescent="0.25">
      <c r="B675" s="69"/>
      <c r="D675" s="70"/>
      <c r="E675" s="65"/>
      <c r="F675" s="65"/>
      <c r="G675" s="65"/>
      <c r="H675" s="65"/>
      <c r="I675" s="65"/>
      <c r="J675" s="65"/>
      <c r="K675" s="65"/>
      <c r="L675" s="65"/>
      <c r="M675" s="68"/>
      <c r="N675" s="65"/>
      <c r="O675" s="65"/>
      <c r="P675" s="65"/>
      <c r="Q675" s="65"/>
      <c r="R675" s="65"/>
    </row>
    <row r="676" spans="2:18" ht="15" x14ac:dyDescent="0.25">
      <c r="B676" s="69"/>
      <c r="D676" s="70"/>
      <c r="E676" s="65"/>
      <c r="F676" s="65"/>
      <c r="G676" s="65"/>
      <c r="H676" s="65"/>
      <c r="I676" s="65"/>
      <c r="J676" s="65"/>
      <c r="K676" s="65"/>
      <c r="L676" s="65"/>
      <c r="M676" s="68"/>
      <c r="N676" s="65"/>
      <c r="O676" s="65"/>
      <c r="P676" s="65"/>
      <c r="Q676" s="65"/>
      <c r="R676" s="65"/>
    </row>
    <row r="677" spans="2:18" ht="15" x14ac:dyDescent="0.25">
      <c r="B677" s="69"/>
      <c r="D677" s="70"/>
      <c r="E677" s="65"/>
      <c r="F677" s="65"/>
      <c r="G677" s="65"/>
      <c r="H677" s="65"/>
      <c r="I677" s="65"/>
      <c r="J677" s="65"/>
      <c r="K677" s="65"/>
      <c r="L677" s="65"/>
      <c r="M677" s="68"/>
      <c r="N677" s="65"/>
      <c r="O677" s="65"/>
      <c r="P677" s="65"/>
      <c r="Q677" s="65"/>
      <c r="R677" s="65"/>
    </row>
    <row r="678" spans="2:18" ht="15" x14ac:dyDescent="0.25">
      <c r="B678" s="69"/>
      <c r="D678" s="70"/>
      <c r="E678" s="65"/>
      <c r="F678" s="65"/>
      <c r="G678" s="65"/>
      <c r="H678" s="65"/>
      <c r="I678" s="65"/>
      <c r="J678" s="65"/>
      <c r="K678" s="65"/>
      <c r="L678" s="65"/>
      <c r="M678" s="68"/>
      <c r="N678" s="65"/>
      <c r="O678" s="65"/>
      <c r="P678" s="65"/>
      <c r="Q678" s="65"/>
      <c r="R678" s="65"/>
    </row>
    <row r="679" spans="2:18" ht="15" x14ac:dyDescent="0.25">
      <c r="B679" s="69"/>
      <c r="D679" s="70"/>
      <c r="E679" s="65"/>
      <c r="F679" s="65"/>
      <c r="G679" s="65"/>
      <c r="H679" s="65"/>
      <c r="I679" s="65"/>
      <c r="J679" s="65"/>
      <c r="K679" s="65"/>
      <c r="L679" s="65"/>
      <c r="M679" s="68"/>
      <c r="N679" s="65"/>
      <c r="O679" s="65"/>
      <c r="P679" s="65"/>
      <c r="Q679" s="65"/>
      <c r="R679" s="65"/>
    </row>
    <row r="680" spans="2:18" ht="15" x14ac:dyDescent="0.25">
      <c r="B680" s="69"/>
      <c r="D680" s="70"/>
      <c r="E680" s="65"/>
      <c r="F680" s="65"/>
      <c r="G680" s="65"/>
      <c r="H680" s="65"/>
      <c r="I680" s="65"/>
      <c r="J680" s="65"/>
      <c r="K680" s="65"/>
      <c r="L680" s="65"/>
      <c r="M680" s="68"/>
      <c r="N680" s="65"/>
      <c r="O680" s="65"/>
      <c r="P680" s="65"/>
      <c r="Q680" s="65"/>
      <c r="R680" s="65"/>
    </row>
    <row r="681" spans="2:18" ht="15" x14ac:dyDescent="0.25">
      <c r="B681" s="69"/>
      <c r="D681" s="70"/>
      <c r="E681" s="65"/>
      <c r="F681" s="65"/>
      <c r="G681" s="65"/>
      <c r="H681" s="65"/>
      <c r="I681" s="65"/>
      <c r="J681" s="65"/>
      <c r="K681" s="65"/>
      <c r="L681" s="65"/>
      <c r="M681" s="68"/>
      <c r="N681" s="65"/>
      <c r="O681" s="65"/>
      <c r="P681" s="65"/>
      <c r="Q681" s="65"/>
      <c r="R681" s="65"/>
    </row>
    <row r="682" spans="2:18" ht="15" x14ac:dyDescent="0.25">
      <c r="B682" s="69"/>
      <c r="D682" s="70"/>
      <c r="E682" s="65"/>
      <c r="F682" s="65"/>
      <c r="G682" s="65"/>
      <c r="H682" s="65"/>
      <c r="I682" s="65"/>
      <c r="J682" s="65"/>
      <c r="K682" s="65"/>
      <c r="L682" s="65"/>
      <c r="M682" s="68"/>
      <c r="N682" s="65"/>
      <c r="O682" s="65"/>
      <c r="P682" s="65"/>
      <c r="Q682" s="65"/>
      <c r="R682" s="65"/>
    </row>
    <row r="683" spans="2:18" ht="15" x14ac:dyDescent="0.25">
      <c r="B683" s="69"/>
      <c r="D683" s="70"/>
      <c r="E683" s="65"/>
      <c r="F683" s="65"/>
      <c r="G683" s="65"/>
      <c r="H683" s="65"/>
      <c r="I683" s="65"/>
      <c r="J683" s="65"/>
      <c r="K683" s="65"/>
      <c r="L683" s="65"/>
      <c r="M683" s="68"/>
      <c r="N683" s="65"/>
      <c r="O683" s="65"/>
      <c r="P683" s="65"/>
      <c r="Q683" s="65"/>
      <c r="R683" s="65"/>
    </row>
    <row r="684" spans="2:18" ht="15" x14ac:dyDescent="0.25">
      <c r="B684" s="69"/>
      <c r="D684" s="70"/>
      <c r="E684" s="65"/>
      <c r="F684" s="65"/>
      <c r="G684" s="65"/>
      <c r="H684" s="65"/>
      <c r="I684" s="65"/>
      <c r="J684" s="65"/>
      <c r="K684" s="65"/>
      <c r="L684" s="65"/>
      <c r="M684" s="68"/>
      <c r="N684" s="65"/>
      <c r="O684" s="65"/>
      <c r="P684" s="65"/>
      <c r="Q684" s="65"/>
      <c r="R684" s="65"/>
    </row>
    <row r="685" spans="2:18" ht="15" x14ac:dyDescent="0.25">
      <c r="B685" s="69"/>
      <c r="D685" s="70"/>
      <c r="E685" s="65"/>
      <c r="F685" s="65"/>
      <c r="G685" s="65"/>
      <c r="H685" s="65"/>
      <c r="I685" s="65"/>
      <c r="J685" s="65"/>
      <c r="K685" s="65"/>
      <c r="L685" s="65"/>
      <c r="M685" s="68"/>
      <c r="N685" s="65"/>
      <c r="O685" s="65"/>
      <c r="P685" s="65"/>
      <c r="Q685" s="65"/>
      <c r="R685" s="65"/>
    </row>
    <row r="686" spans="2:18" ht="15" x14ac:dyDescent="0.25">
      <c r="B686" s="69"/>
      <c r="D686" s="70"/>
      <c r="E686" s="65"/>
      <c r="F686" s="65"/>
      <c r="G686" s="65"/>
      <c r="H686" s="65"/>
      <c r="I686" s="65"/>
      <c r="J686" s="65"/>
      <c r="K686" s="65"/>
      <c r="L686" s="65"/>
      <c r="M686" s="68"/>
      <c r="N686" s="65"/>
      <c r="O686" s="65"/>
      <c r="P686" s="65"/>
      <c r="Q686" s="65"/>
      <c r="R686" s="65"/>
    </row>
    <row r="687" spans="2:18" ht="15" x14ac:dyDescent="0.25">
      <c r="B687" s="69"/>
      <c r="D687" s="70"/>
      <c r="E687" s="65"/>
      <c r="F687" s="65"/>
      <c r="G687" s="65"/>
      <c r="H687" s="65"/>
      <c r="I687" s="65"/>
      <c r="J687" s="65"/>
      <c r="K687" s="65"/>
      <c r="L687" s="65"/>
      <c r="M687" s="68"/>
      <c r="N687" s="65"/>
      <c r="O687" s="65"/>
      <c r="P687" s="65"/>
      <c r="Q687" s="65"/>
      <c r="R687" s="65"/>
    </row>
    <row r="688" spans="2:18" ht="15" x14ac:dyDescent="0.25">
      <c r="B688" s="69"/>
      <c r="D688" s="70"/>
      <c r="E688" s="65"/>
      <c r="F688" s="65"/>
      <c r="G688" s="65"/>
      <c r="H688" s="65"/>
      <c r="I688" s="65"/>
      <c r="J688" s="65"/>
      <c r="K688" s="65"/>
      <c r="L688" s="65"/>
      <c r="M688" s="68"/>
      <c r="N688" s="65"/>
      <c r="O688" s="65"/>
      <c r="P688" s="65"/>
      <c r="Q688" s="65"/>
      <c r="R688" s="65"/>
    </row>
    <row r="689" spans="2:18" ht="15" x14ac:dyDescent="0.25">
      <c r="B689" s="69"/>
      <c r="D689" s="70"/>
      <c r="E689" s="65"/>
      <c r="F689" s="65"/>
      <c r="G689" s="65"/>
      <c r="H689" s="65"/>
      <c r="I689" s="65"/>
      <c r="J689" s="65"/>
      <c r="K689" s="65"/>
      <c r="L689" s="65"/>
      <c r="M689" s="68"/>
      <c r="N689" s="65"/>
      <c r="O689" s="65"/>
      <c r="P689" s="65"/>
      <c r="Q689" s="65"/>
      <c r="R689" s="65"/>
    </row>
    <row r="690" spans="2:18" ht="15" x14ac:dyDescent="0.25">
      <c r="B690" s="69"/>
      <c r="D690" s="70"/>
      <c r="E690" s="65"/>
      <c r="F690" s="65"/>
      <c r="G690" s="65"/>
      <c r="H690" s="65"/>
      <c r="I690" s="65"/>
      <c r="J690" s="65"/>
      <c r="K690" s="65"/>
      <c r="L690" s="65"/>
      <c r="M690" s="68"/>
      <c r="N690" s="65"/>
      <c r="O690" s="65"/>
      <c r="P690" s="65"/>
      <c r="Q690" s="65"/>
      <c r="R690" s="65"/>
    </row>
    <row r="691" spans="2:18" ht="15" x14ac:dyDescent="0.25">
      <c r="B691" s="69"/>
      <c r="D691" s="70"/>
      <c r="E691" s="65"/>
      <c r="F691" s="65"/>
      <c r="G691" s="65"/>
      <c r="H691" s="65"/>
      <c r="I691" s="65"/>
      <c r="J691" s="65"/>
      <c r="K691" s="65"/>
      <c r="L691" s="65"/>
      <c r="M691" s="68"/>
      <c r="N691" s="65"/>
      <c r="O691" s="65"/>
      <c r="P691" s="65"/>
      <c r="Q691" s="65"/>
      <c r="R691" s="65"/>
    </row>
    <row r="692" spans="2:18" ht="15" x14ac:dyDescent="0.25">
      <c r="B692" s="69"/>
      <c r="D692" s="70"/>
      <c r="E692" s="65"/>
      <c r="F692" s="65"/>
      <c r="G692" s="65"/>
      <c r="H692" s="65"/>
      <c r="I692" s="65"/>
      <c r="J692" s="65"/>
      <c r="K692" s="65"/>
      <c r="L692" s="65"/>
      <c r="M692" s="68"/>
      <c r="N692" s="65"/>
      <c r="O692" s="65"/>
      <c r="P692" s="65"/>
      <c r="Q692" s="65"/>
      <c r="R692" s="65"/>
    </row>
    <row r="693" spans="2:18" ht="15" x14ac:dyDescent="0.25">
      <c r="B693" s="69"/>
      <c r="D693" s="70"/>
      <c r="E693" s="65"/>
      <c r="F693" s="65"/>
      <c r="G693" s="65"/>
      <c r="H693" s="65"/>
      <c r="I693" s="65"/>
      <c r="J693" s="65"/>
      <c r="K693" s="65"/>
      <c r="L693" s="65"/>
      <c r="M693" s="68"/>
      <c r="N693" s="65"/>
      <c r="O693" s="65"/>
      <c r="P693" s="65"/>
      <c r="Q693" s="65"/>
      <c r="R693" s="65"/>
    </row>
    <row r="694" spans="2:18" ht="15" x14ac:dyDescent="0.25">
      <c r="B694" s="69"/>
      <c r="D694" s="70"/>
      <c r="E694" s="65"/>
      <c r="F694" s="65"/>
      <c r="G694" s="65"/>
      <c r="H694" s="65"/>
      <c r="I694" s="65"/>
      <c r="J694" s="65"/>
      <c r="K694" s="65"/>
      <c r="L694" s="65"/>
      <c r="M694" s="68"/>
      <c r="N694" s="65"/>
      <c r="O694" s="65"/>
      <c r="P694" s="65"/>
      <c r="Q694" s="65"/>
      <c r="R694" s="65"/>
    </row>
    <row r="695" spans="2:18" ht="15" x14ac:dyDescent="0.25">
      <c r="B695" s="69"/>
      <c r="D695" s="70"/>
      <c r="E695" s="65"/>
      <c r="F695" s="65"/>
      <c r="G695" s="65"/>
      <c r="H695" s="65"/>
      <c r="I695" s="65"/>
      <c r="J695" s="65"/>
      <c r="K695" s="65"/>
      <c r="L695" s="65"/>
      <c r="M695" s="68"/>
      <c r="N695" s="65"/>
      <c r="O695" s="65"/>
      <c r="P695" s="65"/>
      <c r="Q695" s="65"/>
      <c r="R695" s="65"/>
    </row>
    <row r="696" spans="2:18" ht="15" x14ac:dyDescent="0.25">
      <c r="B696" s="69"/>
      <c r="D696" s="70"/>
      <c r="E696" s="65"/>
      <c r="F696" s="65"/>
      <c r="G696" s="65"/>
      <c r="H696" s="65"/>
      <c r="I696" s="65"/>
      <c r="J696" s="65"/>
      <c r="K696" s="65"/>
      <c r="L696" s="65"/>
      <c r="M696" s="68"/>
      <c r="N696" s="65"/>
      <c r="O696" s="65"/>
      <c r="P696" s="65"/>
      <c r="Q696" s="65"/>
      <c r="R696" s="65"/>
    </row>
    <row r="697" spans="2:18" ht="15" x14ac:dyDescent="0.25">
      <c r="B697" s="69"/>
      <c r="D697" s="70"/>
      <c r="E697" s="65"/>
      <c r="F697" s="65"/>
      <c r="G697" s="65"/>
      <c r="H697" s="65"/>
      <c r="I697" s="65"/>
      <c r="J697" s="65"/>
      <c r="K697" s="65"/>
      <c r="L697" s="65"/>
      <c r="M697" s="68"/>
      <c r="N697" s="65"/>
      <c r="O697" s="65"/>
      <c r="P697" s="65"/>
      <c r="Q697" s="65"/>
      <c r="R697" s="65"/>
    </row>
    <row r="698" spans="2:18" ht="15" x14ac:dyDescent="0.25">
      <c r="B698" s="69"/>
      <c r="D698" s="70"/>
      <c r="E698" s="65"/>
      <c r="F698" s="65"/>
      <c r="G698" s="65"/>
      <c r="H698" s="65"/>
      <c r="I698" s="65"/>
      <c r="J698" s="65"/>
      <c r="K698" s="65"/>
      <c r="L698" s="65"/>
      <c r="M698" s="68"/>
      <c r="N698" s="65"/>
      <c r="O698" s="65"/>
      <c r="P698" s="65"/>
      <c r="Q698" s="65"/>
      <c r="R698" s="65"/>
    </row>
    <row r="699" spans="2:18" ht="15" x14ac:dyDescent="0.25">
      <c r="B699" s="69"/>
      <c r="D699" s="70"/>
      <c r="E699" s="65"/>
      <c r="F699" s="65"/>
      <c r="G699" s="65"/>
      <c r="H699" s="65"/>
      <c r="I699" s="65"/>
      <c r="J699" s="65"/>
      <c r="K699" s="65"/>
      <c r="L699" s="65"/>
      <c r="M699" s="68"/>
      <c r="N699" s="65"/>
      <c r="O699" s="65"/>
      <c r="P699" s="65"/>
      <c r="Q699" s="65"/>
      <c r="R699" s="65"/>
    </row>
    <row r="700" spans="2:18" ht="15" x14ac:dyDescent="0.25">
      <c r="B700" s="69"/>
      <c r="D700" s="70"/>
      <c r="E700" s="65"/>
      <c r="F700" s="65"/>
      <c r="G700" s="65"/>
      <c r="H700" s="65"/>
      <c r="I700" s="65"/>
      <c r="J700" s="65"/>
      <c r="K700" s="65"/>
      <c r="L700" s="65"/>
      <c r="M700" s="68"/>
      <c r="N700" s="65"/>
      <c r="O700" s="65"/>
      <c r="P700" s="65"/>
      <c r="Q700" s="65"/>
      <c r="R700" s="65"/>
    </row>
    <row r="701" spans="2:18" ht="15" x14ac:dyDescent="0.25">
      <c r="B701" s="69"/>
      <c r="D701" s="70"/>
      <c r="E701" s="65"/>
      <c r="F701" s="65"/>
      <c r="G701" s="65"/>
      <c r="H701" s="65"/>
      <c r="I701" s="65"/>
      <c r="J701" s="65"/>
      <c r="K701" s="65"/>
      <c r="L701" s="65"/>
      <c r="M701" s="68"/>
      <c r="N701" s="65"/>
      <c r="O701" s="65"/>
      <c r="P701" s="65"/>
      <c r="Q701" s="65"/>
      <c r="R701" s="65"/>
    </row>
    <row r="702" spans="2:18" ht="15" x14ac:dyDescent="0.25">
      <c r="B702" s="69"/>
      <c r="D702" s="70"/>
      <c r="E702" s="65"/>
      <c r="F702" s="65"/>
      <c r="G702" s="65"/>
      <c r="H702" s="65"/>
      <c r="I702" s="65"/>
      <c r="J702" s="65"/>
      <c r="K702" s="65"/>
      <c r="L702" s="65"/>
      <c r="M702" s="68"/>
      <c r="N702" s="65"/>
      <c r="O702" s="65"/>
      <c r="P702" s="65"/>
      <c r="Q702" s="65"/>
      <c r="R702" s="65"/>
    </row>
    <row r="703" spans="2:18" ht="15" x14ac:dyDescent="0.25">
      <c r="B703" s="69"/>
      <c r="D703" s="70"/>
      <c r="E703" s="65"/>
      <c r="F703" s="65"/>
      <c r="G703" s="65"/>
      <c r="H703" s="65"/>
      <c r="I703" s="65"/>
      <c r="J703" s="65"/>
      <c r="K703" s="65"/>
      <c r="L703" s="65"/>
      <c r="M703" s="68"/>
      <c r="N703" s="65"/>
      <c r="O703" s="65"/>
      <c r="P703" s="65"/>
      <c r="Q703" s="65"/>
      <c r="R703" s="65"/>
    </row>
    <row r="704" spans="2:18" ht="15" x14ac:dyDescent="0.25">
      <c r="B704" s="69"/>
      <c r="D704" s="70"/>
      <c r="E704" s="65"/>
      <c r="F704" s="65"/>
      <c r="G704" s="65"/>
      <c r="H704" s="65"/>
      <c r="I704" s="65"/>
      <c r="J704" s="65"/>
      <c r="K704" s="65"/>
      <c r="L704" s="65"/>
      <c r="M704" s="68"/>
      <c r="N704" s="65"/>
      <c r="O704" s="65"/>
      <c r="P704" s="65"/>
      <c r="Q704" s="65"/>
      <c r="R704" s="65"/>
    </row>
    <row r="705" spans="2:18" ht="15" x14ac:dyDescent="0.25">
      <c r="B705" s="69"/>
      <c r="D705" s="70"/>
      <c r="E705" s="65"/>
      <c r="F705" s="65"/>
      <c r="G705" s="65"/>
      <c r="H705" s="65"/>
      <c r="I705" s="65"/>
      <c r="J705" s="65"/>
      <c r="K705" s="65"/>
      <c r="L705" s="65"/>
      <c r="M705" s="68"/>
      <c r="N705" s="65"/>
      <c r="O705" s="65"/>
      <c r="P705" s="65"/>
      <c r="Q705" s="65"/>
      <c r="R705" s="65"/>
    </row>
    <row r="706" spans="2:18" ht="15" x14ac:dyDescent="0.25">
      <c r="B706" s="69"/>
      <c r="D706" s="70"/>
      <c r="E706" s="65"/>
      <c r="F706" s="65"/>
      <c r="G706" s="65"/>
      <c r="H706" s="65"/>
      <c r="I706" s="65"/>
      <c r="J706" s="65"/>
      <c r="K706" s="65"/>
      <c r="L706" s="65"/>
      <c r="M706" s="68"/>
      <c r="N706" s="65"/>
      <c r="O706" s="65"/>
      <c r="P706" s="65"/>
      <c r="Q706" s="65"/>
      <c r="R706" s="65"/>
    </row>
    <row r="707" spans="2:18" ht="15" x14ac:dyDescent="0.25">
      <c r="B707" s="69"/>
      <c r="D707" s="70"/>
      <c r="E707" s="65"/>
      <c r="F707" s="65"/>
      <c r="G707" s="65"/>
      <c r="H707" s="65"/>
      <c r="I707" s="65"/>
      <c r="J707" s="65"/>
      <c r="K707" s="65"/>
      <c r="L707" s="65"/>
      <c r="M707" s="68"/>
      <c r="N707" s="65"/>
      <c r="O707" s="65"/>
      <c r="P707" s="65"/>
      <c r="Q707" s="65"/>
      <c r="R707" s="65"/>
    </row>
    <row r="708" spans="2:18" ht="15" x14ac:dyDescent="0.25">
      <c r="B708" s="69"/>
      <c r="D708" s="70"/>
      <c r="E708" s="65"/>
      <c r="F708" s="65"/>
      <c r="G708" s="65"/>
      <c r="H708" s="65"/>
      <c r="I708" s="65"/>
      <c r="J708" s="65"/>
      <c r="K708" s="65"/>
      <c r="L708" s="65"/>
      <c r="M708" s="68"/>
      <c r="N708" s="65"/>
      <c r="O708" s="65"/>
      <c r="P708" s="65"/>
      <c r="Q708" s="65"/>
      <c r="R708" s="65"/>
    </row>
    <row r="709" spans="2:18" ht="15" x14ac:dyDescent="0.25">
      <c r="B709" s="69"/>
      <c r="D709" s="70"/>
      <c r="E709" s="65"/>
      <c r="F709" s="65"/>
      <c r="G709" s="65"/>
      <c r="H709" s="65"/>
      <c r="I709" s="65"/>
      <c r="J709" s="65"/>
      <c r="K709" s="65"/>
      <c r="L709" s="65"/>
      <c r="M709" s="68"/>
      <c r="N709" s="65"/>
      <c r="O709" s="65"/>
      <c r="P709" s="65"/>
      <c r="Q709" s="65"/>
      <c r="R709" s="65"/>
    </row>
    <row r="710" spans="2:18" ht="15" x14ac:dyDescent="0.25">
      <c r="B710" s="69"/>
      <c r="D710" s="70"/>
      <c r="E710" s="65"/>
      <c r="F710" s="65"/>
      <c r="G710" s="65"/>
      <c r="H710" s="65"/>
      <c r="I710" s="65"/>
      <c r="J710" s="65"/>
      <c r="K710" s="65"/>
      <c r="L710" s="65"/>
      <c r="M710" s="68"/>
      <c r="N710" s="65"/>
      <c r="O710" s="65"/>
      <c r="P710" s="65"/>
      <c r="Q710" s="65"/>
      <c r="R710" s="65"/>
    </row>
    <row r="711" spans="2:18" ht="15" x14ac:dyDescent="0.25">
      <c r="B711" s="69"/>
      <c r="D711" s="70"/>
      <c r="E711" s="65"/>
      <c r="F711" s="65"/>
      <c r="G711" s="65"/>
      <c r="H711" s="65"/>
      <c r="I711" s="65"/>
      <c r="J711" s="65"/>
      <c r="K711" s="65"/>
      <c r="L711" s="65"/>
      <c r="M711" s="68"/>
      <c r="N711" s="65"/>
      <c r="O711" s="65"/>
      <c r="P711" s="65"/>
      <c r="Q711" s="65"/>
      <c r="R711" s="65"/>
    </row>
    <row r="712" spans="2:18" ht="15" x14ac:dyDescent="0.25">
      <c r="B712" s="69"/>
      <c r="D712" s="70"/>
      <c r="E712" s="65"/>
      <c r="F712" s="65"/>
      <c r="G712" s="65"/>
      <c r="H712" s="65"/>
      <c r="I712" s="65"/>
      <c r="J712" s="65"/>
      <c r="K712" s="65"/>
      <c r="L712" s="65"/>
      <c r="M712" s="68"/>
      <c r="N712" s="65"/>
      <c r="O712" s="65"/>
      <c r="P712" s="65"/>
      <c r="Q712" s="65"/>
      <c r="R712" s="65"/>
    </row>
    <row r="713" spans="2:18" ht="15" x14ac:dyDescent="0.25">
      <c r="B713" s="69"/>
      <c r="D713" s="70"/>
      <c r="E713" s="65"/>
      <c r="F713" s="65"/>
      <c r="G713" s="65"/>
      <c r="H713" s="65"/>
      <c r="I713" s="65"/>
      <c r="J713" s="65"/>
      <c r="K713" s="65"/>
      <c r="L713" s="65"/>
      <c r="M713" s="68"/>
      <c r="N713" s="65"/>
      <c r="O713" s="65"/>
      <c r="P713" s="65"/>
      <c r="Q713" s="65"/>
      <c r="R713" s="65"/>
    </row>
    <row r="714" spans="2:18" ht="15" x14ac:dyDescent="0.25">
      <c r="B714" s="69"/>
      <c r="D714" s="70"/>
      <c r="E714" s="65"/>
      <c r="F714" s="65"/>
      <c r="G714" s="65"/>
      <c r="H714" s="65"/>
      <c r="I714" s="65"/>
      <c r="J714" s="65"/>
      <c r="K714" s="65"/>
      <c r="L714" s="65"/>
      <c r="M714" s="68"/>
      <c r="N714" s="65"/>
      <c r="O714" s="65"/>
      <c r="P714" s="65"/>
      <c r="Q714" s="65"/>
      <c r="R714" s="65"/>
    </row>
    <row r="715" spans="2:18" ht="15" x14ac:dyDescent="0.25">
      <c r="B715" s="69"/>
      <c r="D715" s="70"/>
      <c r="E715" s="65"/>
      <c r="F715" s="65"/>
      <c r="G715" s="65"/>
      <c r="H715" s="65"/>
      <c r="I715" s="65"/>
      <c r="J715" s="65"/>
      <c r="K715" s="65"/>
      <c r="L715" s="65"/>
      <c r="M715" s="68"/>
      <c r="N715" s="65"/>
      <c r="O715" s="65"/>
      <c r="P715" s="65"/>
      <c r="Q715" s="65"/>
      <c r="R715" s="65"/>
    </row>
    <row r="716" spans="2:18" ht="15" x14ac:dyDescent="0.25">
      <c r="B716" s="69"/>
      <c r="D716" s="70"/>
      <c r="E716" s="65"/>
      <c r="F716" s="65"/>
      <c r="G716" s="65"/>
      <c r="H716" s="65"/>
      <c r="I716" s="65"/>
      <c r="J716" s="65"/>
      <c r="K716" s="65"/>
      <c r="L716" s="65"/>
      <c r="M716" s="68"/>
      <c r="N716" s="65"/>
      <c r="O716" s="65"/>
      <c r="P716" s="65"/>
      <c r="Q716" s="65"/>
      <c r="R716" s="65"/>
    </row>
    <row r="717" spans="2:18" ht="15" x14ac:dyDescent="0.25">
      <c r="B717" s="69"/>
      <c r="D717" s="70"/>
      <c r="E717" s="65"/>
      <c r="F717" s="65"/>
      <c r="G717" s="65"/>
      <c r="H717" s="65"/>
      <c r="I717" s="65"/>
      <c r="J717" s="65"/>
      <c r="K717" s="65"/>
      <c r="L717" s="65"/>
      <c r="M717" s="68"/>
      <c r="N717" s="65"/>
      <c r="O717" s="65"/>
      <c r="P717" s="65"/>
      <c r="Q717" s="65"/>
      <c r="R717" s="65"/>
    </row>
    <row r="718" spans="2:18" ht="15" x14ac:dyDescent="0.25">
      <c r="B718" s="69"/>
      <c r="D718" s="70"/>
      <c r="E718" s="65"/>
      <c r="F718" s="65"/>
      <c r="G718" s="65"/>
      <c r="H718" s="65"/>
      <c r="I718" s="65"/>
      <c r="J718" s="65"/>
      <c r="K718" s="65"/>
      <c r="L718" s="65"/>
      <c r="M718" s="68"/>
      <c r="N718" s="65"/>
      <c r="O718" s="65"/>
      <c r="P718" s="65"/>
      <c r="Q718" s="65"/>
      <c r="R718" s="65"/>
    </row>
    <row r="719" spans="2:18" ht="15" x14ac:dyDescent="0.25">
      <c r="B719" s="69"/>
      <c r="D719" s="70"/>
      <c r="E719" s="65"/>
      <c r="F719" s="65"/>
      <c r="G719" s="65"/>
      <c r="H719" s="65"/>
      <c r="I719" s="65"/>
      <c r="J719" s="65"/>
      <c r="K719" s="65"/>
      <c r="L719" s="65"/>
      <c r="M719" s="68"/>
      <c r="N719" s="65"/>
      <c r="O719" s="65"/>
      <c r="P719" s="65"/>
      <c r="Q719" s="65"/>
      <c r="R719" s="65"/>
    </row>
    <row r="720" spans="2:18" ht="15" x14ac:dyDescent="0.25">
      <c r="B720" s="69"/>
      <c r="D720" s="70"/>
      <c r="E720" s="65"/>
      <c r="F720" s="65"/>
      <c r="G720" s="65"/>
      <c r="H720" s="65"/>
      <c r="I720" s="65"/>
      <c r="J720" s="65"/>
      <c r="K720" s="65"/>
      <c r="L720" s="65"/>
      <c r="M720" s="68"/>
      <c r="N720" s="65"/>
      <c r="O720" s="65"/>
      <c r="P720" s="65"/>
      <c r="Q720" s="65"/>
      <c r="R720" s="65"/>
    </row>
    <row r="721" spans="2:18" ht="15" x14ac:dyDescent="0.25">
      <c r="B721" s="69"/>
      <c r="D721" s="70"/>
      <c r="E721" s="65"/>
      <c r="F721" s="65"/>
      <c r="G721" s="65"/>
      <c r="H721" s="65"/>
      <c r="I721" s="65"/>
      <c r="J721" s="65"/>
      <c r="K721" s="65"/>
      <c r="L721" s="65"/>
      <c r="M721" s="68"/>
      <c r="N721" s="65"/>
      <c r="O721" s="65"/>
      <c r="P721" s="65"/>
      <c r="Q721" s="65"/>
      <c r="R721" s="65"/>
    </row>
    <row r="722" spans="2:18" ht="15" x14ac:dyDescent="0.25">
      <c r="B722" s="69"/>
      <c r="D722" s="70"/>
      <c r="E722" s="65"/>
      <c r="F722" s="65"/>
      <c r="G722" s="65"/>
      <c r="H722" s="65"/>
      <c r="I722" s="65"/>
      <c r="J722" s="65"/>
      <c r="K722" s="65"/>
      <c r="L722" s="65"/>
      <c r="M722" s="68"/>
      <c r="N722" s="65"/>
      <c r="O722" s="65"/>
      <c r="P722" s="65"/>
      <c r="Q722" s="65"/>
      <c r="R722" s="65"/>
    </row>
    <row r="723" spans="2:18" ht="15" x14ac:dyDescent="0.25">
      <c r="B723" s="69"/>
      <c r="D723" s="70"/>
      <c r="E723" s="65"/>
      <c r="F723" s="65"/>
      <c r="G723" s="65"/>
      <c r="H723" s="65"/>
      <c r="I723" s="65"/>
      <c r="J723" s="65"/>
      <c r="K723" s="65"/>
      <c r="L723" s="65"/>
      <c r="M723" s="68"/>
      <c r="N723" s="65"/>
      <c r="O723" s="65"/>
      <c r="P723" s="65"/>
      <c r="Q723" s="65"/>
      <c r="R723" s="65"/>
    </row>
    <row r="724" spans="2:18" ht="15" x14ac:dyDescent="0.25">
      <c r="B724" s="69"/>
      <c r="D724" s="70"/>
      <c r="E724" s="65"/>
      <c r="F724" s="65"/>
      <c r="G724" s="65"/>
      <c r="H724" s="65"/>
      <c r="I724" s="65"/>
      <c r="J724" s="65"/>
      <c r="K724" s="65"/>
      <c r="L724" s="65"/>
      <c r="M724" s="68"/>
      <c r="N724" s="65"/>
      <c r="O724" s="65"/>
      <c r="P724" s="65"/>
      <c r="Q724" s="65"/>
      <c r="R724" s="65"/>
    </row>
    <row r="725" spans="2:18" ht="15" x14ac:dyDescent="0.25">
      <c r="B725" s="69"/>
      <c r="D725" s="70"/>
      <c r="E725" s="65"/>
      <c r="F725" s="65"/>
      <c r="G725" s="65"/>
      <c r="H725" s="65"/>
      <c r="I725" s="65"/>
      <c r="J725" s="65"/>
      <c r="K725" s="65"/>
      <c r="L725" s="65"/>
      <c r="M725" s="68"/>
      <c r="N725" s="65"/>
      <c r="O725" s="65"/>
      <c r="P725" s="65"/>
      <c r="Q725" s="65"/>
      <c r="R725" s="65"/>
    </row>
    <row r="726" spans="2:18" ht="15" x14ac:dyDescent="0.25">
      <c r="B726" s="69"/>
      <c r="D726" s="70"/>
      <c r="E726" s="65"/>
      <c r="F726" s="65"/>
      <c r="G726" s="65"/>
      <c r="H726" s="65"/>
      <c r="I726" s="65"/>
      <c r="J726" s="65"/>
      <c r="K726" s="65"/>
      <c r="L726" s="65"/>
      <c r="M726" s="68"/>
      <c r="N726" s="65"/>
      <c r="O726" s="65"/>
      <c r="P726" s="65"/>
      <c r="Q726" s="65"/>
      <c r="R726" s="65"/>
    </row>
    <row r="727" spans="2:18" ht="15" x14ac:dyDescent="0.25">
      <c r="B727" s="69"/>
      <c r="D727" s="70"/>
      <c r="E727" s="65"/>
      <c r="F727" s="65"/>
      <c r="G727" s="65"/>
      <c r="H727" s="65"/>
      <c r="I727" s="65"/>
      <c r="J727" s="65"/>
      <c r="K727" s="65"/>
      <c r="L727" s="65"/>
      <c r="M727" s="68"/>
      <c r="N727" s="65"/>
      <c r="O727" s="65"/>
      <c r="P727" s="65"/>
      <c r="Q727" s="65"/>
      <c r="R727" s="65"/>
    </row>
    <row r="728" spans="2:18" ht="15" x14ac:dyDescent="0.25">
      <c r="B728" s="69"/>
      <c r="D728" s="70"/>
      <c r="E728" s="65"/>
      <c r="F728" s="65"/>
      <c r="G728" s="65"/>
      <c r="H728" s="65"/>
      <c r="I728" s="65"/>
      <c r="J728" s="65"/>
      <c r="K728" s="65"/>
      <c r="L728" s="65"/>
      <c r="M728" s="68"/>
      <c r="N728" s="65"/>
      <c r="O728" s="65"/>
      <c r="P728" s="65"/>
      <c r="Q728" s="65"/>
      <c r="R728" s="65"/>
    </row>
    <row r="729" spans="2:18" ht="15" x14ac:dyDescent="0.25">
      <c r="B729" s="69"/>
      <c r="D729" s="70"/>
      <c r="E729" s="65"/>
      <c r="F729" s="65"/>
      <c r="G729" s="65"/>
      <c r="H729" s="65"/>
      <c r="I729" s="65"/>
      <c r="J729" s="65"/>
      <c r="K729" s="65"/>
      <c r="L729" s="65"/>
      <c r="M729" s="68"/>
      <c r="N729" s="65"/>
      <c r="O729" s="65"/>
      <c r="P729" s="65"/>
      <c r="Q729" s="65"/>
      <c r="R729" s="65"/>
    </row>
    <row r="730" spans="2:18" ht="15" x14ac:dyDescent="0.25">
      <c r="B730" s="69"/>
      <c r="D730" s="70"/>
      <c r="E730" s="65"/>
      <c r="F730" s="65"/>
      <c r="G730" s="65"/>
      <c r="H730" s="65"/>
      <c r="I730" s="65"/>
      <c r="J730" s="65"/>
      <c r="K730" s="65"/>
      <c r="L730" s="65"/>
      <c r="M730" s="68"/>
      <c r="N730" s="65"/>
      <c r="O730" s="65"/>
      <c r="P730" s="65"/>
      <c r="Q730" s="65"/>
      <c r="R730" s="65"/>
    </row>
    <row r="731" spans="2:18" ht="15" x14ac:dyDescent="0.25">
      <c r="B731" s="69"/>
      <c r="D731" s="70"/>
      <c r="E731" s="65"/>
      <c r="F731" s="65"/>
      <c r="G731" s="65"/>
      <c r="H731" s="65"/>
      <c r="I731" s="65"/>
      <c r="J731" s="65"/>
      <c r="K731" s="65"/>
      <c r="L731" s="65"/>
      <c r="M731" s="68"/>
      <c r="N731" s="65"/>
      <c r="O731" s="65"/>
      <c r="P731" s="65"/>
      <c r="Q731" s="65"/>
      <c r="R731" s="65"/>
    </row>
    <row r="732" spans="2:18" ht="15" x14ac:dyDescent="0.25">
      <c r="B732" s="69"/>
      <c r="D732" s="70"/>
      <c r="E732" s="65"/>
      <c r="F732" s="65"/>
      <c r="G732" s="65"/>
      <c r="H732" s="65"/>
      <c r="I732" s="65"/>
      <c r="J732" s="65"/>
      <c r="K732" s="65"/>
      <c r="L732" s="65"/>
      <c r="M732" s="68"/>
      <c r="N732" s="65"/>
      <c r="O732" s="65"/>
      <c r="P732" s="65"/>
      <c r="Q732" s="65"/>
      <c r="R732" s="65"/>
    </row>
    <row r="733" spans="2:18" ht="15" x14ac:dyDescent="0.25">
      <c r="B733" s="69"/>
      <c r="D733" s="70"/>
      <c r="E733" s="65"/>
      <c r="F733" s="65"/>
      <c r="G733" s="65"/>
      <c r="H733" s="65"/>
      <c r="I733" s="65"/>
      <c r="J733" s="65"/>
      <c r="K733" s="65"/>
      <c r="L733" s="65"/>
      <c r="M733" s="68"/>
      <c r="N733" s="65"/>
      <c r="O733" s="65"/>
      <c r="P733" s="65"/>
      <c r="Q733" s="65"/>
      <c r="R733" s="65"/>
    </row>
    <row r="734" spans="2:18" ht="15" x14ac:dyDescent="0.25">
      <c r="B734" s="69"/>
      <c r="D734" s="70"/>
      <c r="E734" s="65"/>
      <c r="F734" s="65"/>
      <c r="G734" s="65"/>
      <c r="H734" s="65"/>
      <c r="I734" s="65"/>
      <c r="J734" s="65"/>
      <c r="K734" s="65"/>
      <c r="L734" s="65"/>
      <c r="M734" s="68"/>
      <c r="N734" s="65"/>
      <c r="O734" s="65"/>
      <c r="P734" s="65"/>
      <c r="Q734" s="65"/>
      <c r="R734" s="65"/>
    </row>
    <row r="735" spans="2:18" ht="15" x14ac:dyDescent="0.25">
      <c r="B735" s="69"/>
      <c r="D735" s="70"/>
      <c r="E735" s="65"/>
      <c r="F735" s="65"/>
      <c r="G735" s="65"/>
      <c r="H735" s="65"/>
      <c r="I735" s="65"/>
      <c r="J735" s="65"/>
      <c r="K735" s="65"/>
      <c r="L735" s="65"/>
      <c r="M735" s="68"/>
      <c r="N735" s="65"/>
      <c r="O735" s="65"/>
      <c r="P735" s="65"/>
      <c r="Q735" s="65"/>
      <c r="R735" s="65"/>
    </row>
    <row r="736" spans="2:18" ht="15" x14ac:dyDescent="0.25">
      <c r="B736" s="69"/>
      <c r="D736" s="70"/>
      <c r="E736" s="65"/>
      <c r="F736" s="65"/>
      <c r="G736" s="65"/>
      <c r="H736" s="65"/>
      <c r="I736" s="65"/>
      <c r="J736" s="65"/>
      <c r="K736" s="65"/>
      <c r="L736" s="65"/>
      <c r="M736" s="68"/>
      <c r="N736" s="65"/>
      <c r="O736" s="65"/>
      <c r="P736" s="65"/>
      <c r="Q736" s="65"/>
      <c r="R736" s="65"/>
    </row>
    <row r="737" spans="2:18" ht="15" x14ac:dyDescent="0.25">
      <c r="B737" s="69"/>
      <c r="D737" s="70"/>
      <c r="E737" s="65"/>
      <c r="F737" s="65"/>
      <c r="G737" s="65"/>
      <c r="H737" s="65"/>
      <c r="I737" s="65"/>
      <c r="J737" s="65"/>
      <c r="K737" s="65"/>
      <c r="L737" s="65"/>
      <c r="M737" s="68"/>
      <c r="N737" s="65"/>
      <c r="O737" s="65"/>
      <c r="P737" s="65"/>
      <c r="Q737" s="65"/>
      <c r="R737" s="65"/>
    </row>
    <row r="738" spans="2:18" ht="15" x14ac:dyDescent="0.25">
      <c r="B738" s="69"/>
      <c r="D738" s="70"/>
      <c r="E738" s="65"/>
      <c r="F738" s="65"/>
      <c r="G738" s="65"/>
      <c r="H738" s="65"/>
      <c r="I738" s="65"/>
      <c r="J738" s="65"/>
      <c r="K738" s="65"/>
      <c r="L738" s="65"/>
      <c r="M738" s="68"/>
      <c r="N738" s="65"/>
      <c r="O738" s="65"/>
      <c r="P738" s="65"/>
      <c r="Q738" s="65"/>
      <c r="R738" s="65"/>
    </row>
    <row r="739" spans="2:18" ht="15" x14ac:dyDescent="0.25">
      <c r="B739" s="69"/>
      <c r="D739" s="70"/>
      <c r="E739" s="65"/>
      <c r="F739" s="65"/>
      <c r="G739" s="65"/>
      <c r="H739" s="65"/>
      <c r="I739" s="65"/>
      <c r="J739" s="65"/>
      <c r="K739" s="65"/>
      <c r="L739" s="65"/>
      <c r="M739" s="68"/>
      <c r="N739" s="65"/>
      <c r="O739" s="65"/>
      <c r="P739" s="65"/>
      <c r="Q739" s="65"/>
      <c r="R739" s="65"/>
    </row>
    <row r="740" spans="2:18" ht="15" x14ac:dyDescent="0.25">
      <c r="B740" s="69"/>
      <c r="D740" s="70"/>
      <c r="E740" s="65"/>
      <c r="F740" s="65"/>
      <c r="G740" s="65"/>
      <c r="H740" s="65"/>
      <c r="I740" s="65"/>
      <c r="J740" s="65"/>
      <c r="K740" s="65"/>
      <c r="L740" s="65"/>
      <c r="M740" s="68"/>
      <c r="N740" s="65"/>
      <c r="O740" s="65"/>
      <c r="P740" s="65"/>
      <c r="Q740" s="65"/>
      <c r="R740" s="65"/>
    </row>
    <row r="741" spans="2:18" ht="15" x14ac:dyDescent="0.25">
      <c r="B741" s="69"/>
      <c r="D741" s="70"/>
      <c r="E741" s="65"/>
      <c r="F741" s="65"/>
      <c r="G741" s="65"/>
      <c r="H741" s="65"/>
      <c r="I741" s="65"/>
      <c r="J741" s="65"/>
      <c r="K741" s="65"/>
      <c r="L741" s="65"/>
      <c r="M741" s="68"/>
      <c r="N741" s="65"/>
      <c r="O741" s="65"/>
      <c r="P741" s="65"/>
      <c r="Q741" s="65"/>
      <c r="R741" s="65"/>
    </row>
    <row r="742" spans="2:18" ht="15" x14ac:dyDescent="0.25">
      <c r="B742" s="69"/>
      <c r="D742" s="70"/>
      <c r="E742" s="65"/>
      <c r="F742" s="65"/>
      <c r="G742" s="65"/>
      <c r="H742" s="65"/>
      <c r="I742" s="65"/>
      <c r="J742" s="65"/>
      <c r="K742" s="65"/>
      <c r="L742" s="65"/>
      <c r="M742" s="68"/>
      <c r="N742" s="65"/>
      <c r="O742" s="65"/>
      <c r="P742" s="65"/>
      <c r="Q742" s="65"/>
      <c r="R742" s="65"/>
    </row>
    <row r="743" spans="2:18" ht="15" x14ac:dyDescent="0.25">
      <c r="B743" s="69"/>
      <c r="D743" s="70"/>
      <c r="E743" s="65"/>
      <c r="F743" s="65"/>
      <c r="G743" s="65"/>
      <c r="H743" s="65"/>
      <c r="I743" s="65"/>
      <c r="J743" s="65"/>
      <c r="K743" s="65"/>
      <c r="L743" s="65"/>
      <c r="M743" s="68"/>
      <c r="N743" s="65"/>
      <c r="O743" s="65"/>
      <c r="P743" s="65"/>
      <c r="Q743" s="65"/>
      <c r="R743" s="65"/>
    </row>
    <row r="744" spans="2:18" ht="15" x14ac:dyDescent="0.25">
      <c r="B744" s="69"/>
      <c r="D744" s="70"/>
      <c r="E744" s="65"/>
      <c r="F744" s="65"/>
      <c r="G744" s="65"/>
      <c r="H744" s="65"/>
      <c r="I744" s="65"/>
      <c r="J744" s="65"/>
      <c r="K744" s="65"/>
      <c r="L744" s="65"/>
      <c r="M744" s="68"/>
      <c r="N744" s="65"/>
      <c r="O744" s="65"/>
      <c r="P744" s="65"/>
      <c r="Q744" s="65"/>
      <c r="R744" s="65"/>
    </row>
    <row r="745" spans="2:18" ht="15" x14ac:dyDescent="0.25">
      <c r="B745" s="69"/>
      <c r="D745" s="70"/>
      <c r="E745" s="65"/>
      <c r="F745" s="65"/>
      <c r="G745" s="65"/>
      <c r="H745" s="65"/>
      <c r="I745" s="65"/>
      <c r="J745" s="65"/>
      <c r="K745" s="65"/>
      <c r="L745" s="65"/>
      <c r="M745" s="68"/>
      <c r="N745" s="65"/>
      <c r="O745" s="65"/>
      <c r="P745" s="65"/>
      <c r="Q745" s="65"/>
      <c r="R745" s="65"/>
    </row>
    <row r="746" spans="2:18" ht="15" x14ac:dyDescent="0.25">
      <c r="B746" s="69"/>
      <c r="D746" s="70"/>
      <c r="E746" s="65"/>
      <c r="F746" s="65"/>
      <c r="G746" s="65"/>
      <c r="H746" s="65"/>
      <c r="I746" s="65"/>
      <c r="J746" s="65"/>
      <c r="K746" s="65"/>
      <c r="L746" s="65"/>
      <c r="M746" s="68"/>
      <c r="N746" s="65"/>
      <c r="O746" s="65"/>
      <c r="P746" s="65"/>
      <c r="Q746" s="65"/>
      <c r="R746" s="65"/>
    </row>
    <row r="747" spans="2:18" ht="15" x14ac:dyDescent="0.25">
      <c r="B747" s="69"/>
      <c r="D747" s="70"/>
      <c r="E747" s="65"/>
      <c r="F747" s="65"/>
      <c r="G747" s="65"/>
      <c r="H747" s="65"/>
      <c r="I747" s="65"/>
      <c r="J747" s="65"/>
      <c r="K747" s="65"/>
      <c r="L747" s="65"/>
      <c r="M747" s="68"/>
      <c r="N747" s="65"/>
      <c r="O747" s="65"/>
      <c r="P747" s="65"/>
      <c r="Q747" s="65"/>
      <c r="R747" s="65"/>
    </row>
    <row r="748" spans="2:18" ht="15" x14ac:dyDescent="0.25">
      <c r="B748" s="69"/>
      <c r="D748" s="70"/>
      <c r="E748" s="65"/>
      <c r="F748" s="65"/>
      <c r="G748" s="65"/>
      <c r="H748" s="65"/>
      <c r="I748" s="65"/>
      <c r="J748" s="65"/>
      <c r="K748" s="65"/>
      <c r="L748" s="65"/>
      <c r="M748" s="68"/>
      <c r="N748" s="65"/>
      <c r="O748" s="65"/>
      <c r="P748" s="65"/>
      <c r="Q748" s="65"/>
      <c r="R748" s="65"/>
    </row>
    <row r="749" spans="2:18" ht="15" x14ac:dyDescent="0.25">
      <c r="B749" s="69"/>
      <c r="D749" s="70"/>
      <c r="E749" s="65"/>
      <c r="F749" s="65"/>
      <c r="G749" s="65"/>
      <c r="H749" s="65"/>
      <c r="I749" s="65"/>
      <c r="J749" s="65"/>
      <c r="K749" s="65"/>
      <c r="L749" s="65"/>
      <c r="M749" s="68"/>
      <c r="N749" s="65"/>
      <c r="O749" s="65"/>
      <c r="P749" s="65"/>
      <c r="Q749" s="65"/>
      <c r="R749" s="65"/>
    </row>
    <row r="750" spans="2:18" ht="15" x14ac:dyDescent="0.25">
      <c r="B750" s="69"/>
      <c r="D750" s="70"/>
      <c r="E750" s="65"/>
      <c r="F750" s="65"/>
      <c r="G750" s="65"/>
      <c r="H750" s="65"/>
      <c r="I750" s="65"/>
      <c r="J750" s="65"/>
      <c r="K750" s="65"/>
      <c r="L750" s="65"/>
      <c r="M750" s="68"/>
      <c r="N750" s="65"/>
      <c r="O750" s="65"/>
      <c r="P750" s="65"/>
      <c r="Q750" s="65"/>
      <c r="R750" s="65"/>
    </row>
    <row r="751" spans="2:18" ht="15" x14ac:dyDescent="0.25">
      <c r="B751" s="69"/>
      <c r="D751" s="70"/>
      <c r="E751" s="65"/>
      <c r="F751" s="65"/>
      <c r="G751" s="65"/>
      <c r="H751" s="65"/>
      <c r="I751" s="65"/>
      <c r="J751" s="65"/>
      <c r="K751" s="65"/>
      <c r="L751" s="65"/>
      <c r="M751" s="68"/>
      <c r="N751" s="65"/>
      <c r="O751" s="65"/>
      <c r="P751" s="65"/>
      <c r="Q751" s="65"/>
      <c r="R751" s="65"/>
    </row>
    <row r="752" spans="2:18" ht="15" x14ac:dyDescent="0.25">
      <c r="B752" s="69"/>
      <c r="D752" s="70"/>
      <c r="E752" s="65"/>
      <c r="F752" s="65"/>
      <c r="G752" s="65"/>
      <c r="H752" s="65"/>
      <c r="I752" s="65"/>
      <c r="J752" s="65"/>
      <c r="K752" s="65"/>
      <c r="L752" s="65"/>
      <c r="M752" s="68"/>
      <c r="N752" s="65"/>
      <c r="O752" s="65"/>
      <c r="P752" s="65"/>
      <c r="Q752" s="65"/>
      <c r="R752" s="65"/>
    </row>
    <row r="753" spans="2:18" ht="15" x14ac:dyDescent="0.25">
      <c r="B753" s="69"/>
      <c r="D753" s="70"/>
      <c r="E753" s="65"/>
      <c r="F753" s="65"/>
      <c r="G753" s="65"/>
      <c r="H753" s="65"/>
      <c r="I753" s="65"/>
      <c r="J753" s="65"/>
      <c r="K753" s="65"/>
      <c r="L753" s="65"/>
      <c r="M753" s="68"/>
      <c r="N753" s="65"/>
      <c r="O753" s="65"/>
      <c r="P753" s="65"/>
      <c r="Q753" s="65"/>
      <c r="R753" s="65"/>
    </row>
    <row r="754" spans="2:18" ht="15" x14ac:dyDescent="0.25">
      <c r="B754" s="69"/>
      <c r="D754" s="70"/>
      <c r="E754" s="65"/>
      <c r="F754" s="65"/>
      <c r="G754" s="65"/>
      <c r="H754" s="65"/>
      <c r="I754" s="65"/>
      <c r="J754" s="65"/>
      <c r="K754" s="65"/>
      <c r="L754" s="65"/>
      <c r="M754" s="68"/>
      <c r="N754" s="65"/>
      <c r="O754" s="65"/>
      <c r="P754" s="65"/>
      <c r="Q754" s="65"/>
      <c r="R754" s="65"/>
    </row>
    <row r="755" spans="2:18" ht="15" x14ac:dyDescent="0.25">
      <c r="B755" s="69"/>
      <c r="D755" s="70"/>
      <c r="E755" s="65"/>
      <c r="F755" s="65"/>
      <c r="G755" s="65"/>
      <c r="H755" s="65"/>
      <c r="I755" s="65"/>
      <c r="J755" s="65"/>
      <c r="K755" s="65"/>
      <c r="L755" s="65"/>
      <c r="M755" s="68"/>
      <c r="N755" s="65"/>
      <c r="O755" s="65"/>
      <c r="P755" s="65"/>
      <c r="Q755" s="65"/>
      <c r="R755" s="65"/>
    </row>
    <row r="756" spans="2:18" ht="15" x14ac:dyDescent="0.25">
      <c r="B756" s="69"/>
      <c r="D756" s="70"/>
      <c r="E756" s="65"/>
      <c r="F756" s="65"/>
      <c r="G756" s="65"/>
      <c r="H756" s="65"/>
      <c r="I756" s="65"/>
      <c r="J756" s="65"/>
      <c r="K756" s="65"/>
      <c r="L756" s="65"/>
      <c r="M756" s="68"/>
      <c r="N756" s="65"/>
      <c r="O756" s="65"/>
      <c r="P756" s="65"/>
      <c r="Q756" s="65"/>
      <c r="R756" s="65"/>
    </row>
    <row r="757" spans="2:18" ht="15" x14ac:dyDescent="0.25">
      <c r="B757" s="69"/>
      <c r="D757" s="70"/>
      <c r="E757" s="65"/>
      <c r="F757" s="65"/>
      <c r="G757" s="65"/>
      <c r="H757" s="65"/>
      <c r="I757" s="65"/>
      <c r="J757" s="65"/>
      <c r="K757" s="65"/>
      <c r="L757" s="65"/>
      <c r="M757" s="68"/>
      <c r="N757" s="65"/>
      <c r="O757" s="65"/>
      <c r="P757" s="65"/>
      <c r="Q757" s="65"/>
      <c r="R757" s="65"/>
    </row>
    <row r="758" spans="2:18" ht="15" x14ac:dyDescent="0.25">
      <c r="B758" s="69"/>
      <c r="D758" s="70"/>
      <c r="E758" s="65"/>
      <c r="F758" s="65"/>
      <c r="G758" s="65"/>
      <c r="H758" s="65"/>
      <c r="I758" s="65"/>
      <c r="J758" s="65"/>
      <c r="K758" s="65"/>
      <c r="L758" s="65"/>
      <c r="M758" s="68"/>
      <c r="N758" s="65"/>
      <c r="O758" s="65"/>
      <c r="P758" s="65"/>
      <c r="Q758" s="65"/>
      <c r="R758" s="65"/>
    </row>
    <row r="759" spans="2:18" ht="15" x14ac:dyDescent="0.25">
      <c r="B759" s="69"/>
      <c r="D759" s="70"/>
      <c r="E759" s="65"/>
      <c r="F759" s="65"/>
      <c r="G759" s="65"/>
      <c r="H759" s="65"/>
      <c r="I759" s="65"/>
      <c r="J759" s="65"/>
      <c r="K759" s="65"/>
      <c r="L759" s="65"/>
      <c r="M759" s="68"/>
      <c r="N759" s="65"/>
      <c r="O759" s="65"/>
      <c r="P759" s="65"/>
      <c r="Q759" s="65"/>
      <c r="R759" s="65"/>
    </row>
    <row r="760" spans="2:18" ht="15" x14ac:dyDescent="0.25">
      <c r="B760" s="69"/>
      <c r="D760" s="70"/>
      <c r="E760" s="65"/>
      <c r="F760" s="65"/>
      <c r="G760" s="65"/>
      <c r="H760" s="65"/>
      <c r="I760" s="65"/>
      <c r="J760" s="65"/>
      <c r="K760" s="65"/>
      <c r="L760" s="65"/>
      <c r="M760" s="68"/>
      <c r="N760" s="65"/>
      <c r="O760" s="65"/>
      <c r="P760" s="65"/>
      <c r="Q760" s="65"/>
      <c r="R760" s="65"/>
    </row>
    <row r="761" spans="2:18" ht="15" x14ac:dyDescent="0.25">
      <c r="B761" s="69"/>
      <c r="D761" s="70"/>
      <c r="E761" s="65"/>
      <c r="F761" s="65"/>
      <c r="G761" s="65"/>
      <c r="H761" s="65"/>
      <c r="I761" s="65"/>
      <c r="J761" s="65"/>
      <c r="K761" s="65"/>
      <c r="L761" s="65"/>
      <c r="M761" s="68"/>
      <c r="N761" s="65"/>
      <c r="O761" s="65"/>
      <c r="P761" s="65"/>
      <c r="Q761" s="65"/>
      <c r="R761" s="65"/>
    </row>
    <row r="762" spans="2:18" ht="15" x14ac:dyDescent="0.25">
      <c r="B762" s="69"/>
      <c r="D762" s="70"/>
      <c r="E762" s="65"/>
      <c r="F762" s="65"/>
      <c r="G762" s="65"/>
      <c r="H762" s="65"/>
      <c r="I762" s="65"/>
      <c r="J762" s="65"/>
      <c r="K762" s="65"/>
      <c r="L762" s="65"/>
      <c r="M762" s="68"/>
      <c r="N762" s="65"/>
      <c r="O762" s="65"/>
      <c r="P762" s="65"/>
      <c r="Q762" s="65"/>
      <c r="R762" s="65"/>
    </row>
    <row r="763" spans="2:18" ht="15" x14ac:dyDescent="0.25">
      <c r="B763" s="69"/>
      <c r="D763" s="70"/>
      <c r="E763" s="65"/>
      <c r="F763" s="65"/>
      <c r="G763" s="65"/>
      <c r="H763" s="65"/>
      <c r="I763" s="65"/>
      <c r="J763" s="65"/>
      <c r="K763" s="65"/>
      <c r="L763" s="65"/>
      <c r="M763" s="68"/>
      <c r="N763" s="65"/>
      <c r="O763" s="65"/>
      <c r="P763" s="65"/>
      <c r="Q763" s="65"/>
      <c r="R763" s="65"/>
    </row>
    <row r="764" spans="2:18" ht="15" x14ac:dyDescent="0.25">
      <c r="B764" s="69"/>
      <c r="D764" s="70"/>
      <c r="E764" s="65"/>
      <c r="F764" s="65"/>
      <c r="G764" s="65"/>
      <c r="H764" s="65"/>
      <c r="I764" s="65"/>
      <c r="J764" s="65"/>
      <c r="K764" s="65"/>
      <c r="L764" s="65"/>
      <c r="M764" s="68"/>
      <c r="N764" s="65"/>
      <c r="O764" s="65"/>
      <c r="P764" s="65"/>
      <c r="Q764" s="65"/>
      <c r="R764" s="65"/>
    </row>
    <row r="765" spans="2:18" ht="15" x14ac:dyDescent="0.25">
      <c r="B765" s="69"/>
      <c r="D765" s="70"/>
      <c r="E765" s="65"/>
      <c r="F765" s="65"/>
      <c r="G765" s="65"/>
      <c r="H765" s="65"/>
      <c r="I765" s="65"/>
      <c r="J765" s="65"/>
      <c r="K765" s="65"/>
      <c r="L765" s="65"/>
      <c r="M765" s="68"/>
      <c r="N765" s="65"/>
      <c r="O765" s="65"/>
      <c r="P765" s="65"/>
      <c r="Q765" s="65"/>
      <c r="R765" s="65"/>
    </row>
    <row r="766" spans="2:18" ht="15" x14ac:dyDescent="0.25">
      <c r="B766" s="69"/>
      <c r="D766" s="70"/>
      <c r="E766" s="65"/>
      <c r="F766" s="65"/>
      <c r="G766" s="65"/>
      <c r="H766" s="65"/>
      <c r="I766" s="65"/>
      <c r="J766" s="65"/>
      <c r="K766" s="65"/>
      <c r="L766" s="65"/>
      <c r="M766" s="68"/>
      <c r="N766" s="65"/>
      <c r="O766" s="65"/>
      <c r="P766" s="65"/>
      <c r="Q766" s="65"/>
      <c r="R766" s="65"/>
    </row>
    <row r="767" spans="2:18" ht="15" x14ac:dyDescent="0.25">
      <c r="B767" s="69"/>
      <c r="D767" s="70"/>
      <c r="E767" s="65"/>
      <c r="F767" s="65"/>
      <c r="G767" s="65"/>
      <c r="H767" s="65"/>
      <c r="I767" s="65"/>
      <c r="J767" s="65"/>
      <c r="K767" s="65"/>
      <c r="L767" s="65"/>
      <c r="M767" s="68"/>
      <c r="N767" s="65"/>
      <c r="O767" s="65"/>
      <c r="P767" s="65"/>
      <c r="Q767" s="65"/>
      <c r="R767" s="65"/>
    </row>
    <row r="768" spans="2:18" ht="15" x14ac:dyDescent="0.25">
      <c r="B768" s="69"/>
      <c r="D768" s="70"/>
      <c r="E768" s="65"/>
      <c r="F768" s="65"/>
      <c r="G768" s="65"/>
      <c r="H768" s="65"/>
      <c r="I768" s="65"/>
      <c r="J768" s="65"/>
      <c r="K768" s="65"/>
      <c r="L768" s="65"/>
      <c r="M768" s="68"/>
      <c r="N768" s="65"/>
      <c r="O768" s="65"/>
      <c r="P768" s="65"/>
      <c r="Q768" s="65"/>
      <c r="R768" s="65"/>
    </row>
    <row r="769" spans="2:18" ht="15" x14ac:dyDescent="0.25">
      <c r="B769" s="69"/>
      <c r="D769" s="70"/>
      <c r="E769" s="65"/>
      <c r="F769" s="65"/>
      <c r="G769" s="65"/>
      <c r="H769" s="65"/>
      <c r="I769" s="65"/>
      <c r="J769" s="65"/>
      <c r="K769" s="65"/>
      <c r="L769" s="65"/>
      <c r="M769" s="68"/>
      <c r="N769" s="65"/>
      <c r="O769" s="65"/>
      <c r="P769" s="65"/>
      <c r="Q769" s="65"/>
      <c r="R769" s="65"/>
    </row>
    <row r="770" spans="2:18" ht="15" x14ac:dyDescent="0.25">
      <c r="B770" s="69"/>
      <c r="D770" s="70"/>
      <c r="E770" s="65"/>
      <c r="F770" s="65"/>
      <c r="G770" s="65"/>
      <c r="H770" s="65"/>
      <c r="I770" s="65"/>
      <c r="J770" s="65"/>
      <c r="K770" s="65"/>
      <c r="L770" s="65"/>
      <c r="M770" s="68"/>
      <c r="N770" s="65"/>
      <c r="O770" s="65"/>
      <c r="P770" s="65"/>
      <c r="Q770" s="65"/>
      <c r="R770" s="65"/>
    </row>
    <row r="771" spans="2:18" ht="15" x14ac:dyDescent="0.25">
      <c r="B771" s="69"/>
      <c r="D771" s="70"/>
      <c r="E771" s="65"/>
      <c r="F771" s="65"/>
      <c r="G771" s="65"/>
      <c r="H771" s="65"/>
      <c r="I771" s="65"/>
      <c r="J771" s="65"/>
      <c r="K771" s="65"/>
      <c r="L771" s="65"/>
      <c r="M771" s="68"/>
      <c r="N771" s="65"/>
      <c r="O771" s="65"/>
      <c r="P771" s="65"/>
      <c r="Q771" s="65"/>
      <c r="R771" s="65"/>
    </row>
    <row r="772" spans="2:18" ht="15" x14ac:dyDescent="0.25">
      <c r="B772" s="69"/>
      <c r="D772" s="70"/>
      <c r="E772" s="65"/>
      <c r="F772" s="65"/>
      <c r="G772" s="65"/>
      <c r="H772" s="65"/>
      <c r="I772" s="65"/>
      <c r="J772" s="65"/>
      <c r="K772" s="65"/>
      <c r="L772" s="65"/>
      <c r="M772" s="68"/>
      <c r="N772" s="65"/>
      <c r="O772" s="65"/>
      <c r="P772" s="65"/>
      <c r="Q772" s="65"/>
      <c r="R772" s="65"/>
    </row>
    <row r="773" spans="2:18" ht="15" x14ac:dyDescent="0.25">
      <c r="B773" s="69"/>
      <c r="D773" s="70"/>
      <c r="E773" s="65"/>
      <c r="F773" s="65"/>
      <c r="G773" s="65"/>
      <c r="H773" s="65"/>
      <c r="I773" s="65"/>
      <c r="J773" s="65"/>
      <c r="K773" s="65"/>
      <c r="L773" s="65"/>
      <c r="M773" s="68"/>
      <c r="N773" s="65"/>
      <c r="O773" s="65"/>
      <c r="P773" s="65"/>
      <c r="Q773" s="65"/>
      <c r="R773" s="65"/>
    </row>
    <row r="774" spans="2:18" ht="15" x14ac:dyDescent="0.25">
      <c r="B774" s="69"/>
      <c r="D774" s="70"/>
      <c r="E774" s="65"/>
      <c r="F774" s="65"/>
      <c r="G774" s="65"/>
      <c r="H774" s="65"/>
      <c r="I774" s="65"/>
      <c r="J774" s="65"/>
      <c r="K774" s="65"/>
      <c r="L774" s="65"/>
      <c r="M774" s="68"/>
      <c r="N774" s="65"/>
      <c r="O774" s="65"/>
      <c r="P774" s="65"/>
      <c r="Q774" s="65"/>
      <c r="R774" s="65"/>
    </row>
    <row r="775" spans="2:18" ht="15" x14ac:dyDescent="0.25">
      <c r="B775" s="69"/>
      <c r="D775" s="70"/>
      <c r="E775" s="65"/>
      <c r="F775" s="65"/>
      <c r="G775" s="65"/>
      <c r="H775" s="65"/>
      <c r="I775" s="65"/>
      <c r="J775" s="65"/>
      <c r="K775" s="65"/>
      <c r="L775" s="65"/>
      <c r="M775" s="68"/>
      <c r="N775" s="65"/>
      <c r="O775" s="65"/>
      <c r="P775" s="65"/>
      <c r="Q775" s="65"/>
      <c r="R775" s="65"/>
    </row>
    <row r="776" spans="2:18" ht="15" x14ac:dyDescent="0.25">
      <c r="B776" s="69"/>
      <c r="D776" s="70"/>
      <c r="E776" s="65"/>
      <c r="F776" s="65"/>
      <c r="G776" s="65"/>
      <c r="H776" s="65"/>
      <c r="I776" s="65"/>
      <c r="J776" s="65"/>
      <c r="K776" s="65"/>
      <c r="L776" s="65"/>
      <c r="M776" s="68"/>
      <c r="N776" s="65"/>
      <c r="O776" s="65"/>
      <c r="P776" s="65"/>
      <c r="Q776" s="65"/>
      <c r="R776" s="65"/>
    </row>
    <row r="777" spans="2:18" ht="15" x14ac:dyDescent="0.25">
      <c r="B777" s="69"/>
      <c r="D777" s="70"/>
      <c r="E777" s="65"/>
      <c r="F777" s="65"/>
      <c r="G777" s="65"/>
      <c r="H777" s="65"/>
      <c r="I777" s="65"/>
      <c r="J777" s="65"/>
      <c r="K777" s="65"/>
      <c r="L777" s="65"/>
      <c r="M777" s="68"/>
      <c r="N777" s="65"/>
      <c r="O777" s="65"/>
      <c r="P777" s="65"/>
      <c r="Q777" s="65"/>
      <c r="R777" s="65"/>
    </row>
    <row r="778" spans="2:18" ht="15" x14ac:dyDescent="0.25">
      <c r="B778" s="69"/>
      <c r="D778" s="70"/>
      <c r="E778" s="65"/>
      <c r="F778" s="65"/>
      <c r="G778" s="65"/>
      <c r="H778" s="65"/>
      <c r="I778" s="65"/>
      <c r="J778" s="65"/>
      <c r="K778" s="65"/>
      <c r="L778" s="65"/>
      <c r="M778" s="68"/>
      <c r="N778" s="65"/>
      <c r="O778" s="65"/>
      <c r="P778" s="65"/>
      <c r="Q778" s="65"/>
      <c r="R778" s="65"/>
    </row>
    <row r="779" spans="2:18" ht="15" x14ac:dyDescent="0.25">
      <c r="B779" s="69"/>
      <c r="D779" s="70"/>
      <c r="E779" s="65"/>
      <c r="F779" s="65"/>
      <c r="G779" s="65"/>
      <c r="H779" s="65"/>
      <c r="I779" s="65"/>
      <c r="J779" s="65"/>
      <c r="K779" s="65"/>
      <c r="L779" s="65"/>
      <c r="M779" s="68"/>
      <c r="N779" s="65"/>
      <c r="O779" s="65"/>
      <c r="P779" s="65"/>
      <c r="Q779" s="65"/>
      <c r="R779" s="65"/>
    </row>
    <row r="780" spans="2:18" ht="15" x14ac:dyDescent="0.25">
      <c r="B780" s="69"/>
      <c r="D780" s="70"/>
      <c r="E780" s="65"/>
      <c r="F780" s="65"/>
      <c r="G780" s="65"/>
      <c r="H780" s="65"/>
      <c r="I780" s="65"/>
      <c r="J780" s="65"/>
      <c r="K780" s="65"/>
      <c r="L780" s="65"/>
      <c r="M780" s="68"/>
      <c r="N780" s="65"/>
      <c r="O780" s="65"/>
      <c r="P780" s="65"/>
      <c r="Q780" s="65"/>
      <c r="R780" s="65"/>
    </row>
    <row r="781" spans="2:18" ht="15" x14ac:dyDescent="0.25">
      <c r="B781" s="69"/>
      <c r="D781" s="70"/>
      <c r="E781" s="65"/>
      <c r="F781" s="65"/>
      <c r="G781" s="65"/>
      <c r="H781" s="65"/>
      <c r="I781" s="65"/>
      <c r="J781" s="65"/>
      <c r="K781" s="65"/>
      <c r="L781" s="65"/>
      <c r="M781" s="68"/>
      <c r="N781" s="65"/>
      <c r="O781" s="65"/>
      <c r="P781" s="65"/>
      <c r="Q781" s="65"/>
      <c r="R781" s="65"/>
    </row>
    <row r="782" spans="2:18" ht="15" x14ac:dyDescent="0.25">
      <c r="B782" s="69"/>
      <c r="D782" s="70"/>
      <c r="E782" s="65"/>
      <c r="F782" s="65"/>
      <c r="G782" s="65"/>
      <c r="H782" s="65"/>
      <c r="I782" s="65"/>
      <c r="J782" s="65"/>
      <c r="K782" s="65"/>
      <c r="L782" s="65"/>
      <c r="M782" s="68"/>
      <c r="N782" s="65"/>
      <c r="O782" s="65"/>
      <c r="P782" s="65"/>
      <c r="Q782" s="65"/>
      <c r="R782" s="65"/>
    </row>
    <row r="783" spans="2:18" ht="15" x14ac:dyDescent="0.25">
      <c r="B783" s="69"/>
      <c r="D783" s="70"/>
      <c r="E783" s="65"/>
      <c r="F783" s="65"/>
      <c r="G783" s="65"/>
      <c r="H783" s="65"/>
      <c r="I783" s="65"/>
      <c r="J783" s="65"/>
      <c r="K783" s="65"/>
      <c r="L783" s="65"/>
      <c r="M783" s="68"/>
      <c r="N783" s="65"/>
      <c r="O783" s="65"/>
      <c r="P783" s="65"/>
      <c r="Q783" s="65"/>
      <c r="R783" s="65"/>
    </row>
    <row r="784" spans="2:18" ht="15" x14ac:dyDescent="0.25">
      <c r="B784" s="69"/>
      <c r="D784" s="70"/>
      <c r="E784" s="65"/>
      <c r="F784" s="65"/>
      <c r="G784" s="65"/>
      <c r="H784" s="65"/>
      <c r="I784" s="65"/>
      <c r="J784" s="65"/>
      <c r="K784" s="65"/>
      <c r="L784" s="65"/>
      <c r="M784" s="68"/>
      <c r="N784" s="65"/>
      <c r="O784" s="65"/>
      <c r="P784" s="65"/>
      <c r="Q784" s="65"/>
      <c r="R784" s="65"/>
    </row>
    <row r="785" spans="2:18" ht="15" x14ac:dyDescent="0.25">
      <c r="B785" s="69"/>
      <c r="D785" s="70"/>
      <c r="E785" s="65"/>
      <c r="F785" s="65"/>
      <c r="G785" s="65"/>
      <c r="H785" s="65"/>
      <c r="I785" s="65"/>
      <c r="J785" s="65"/>
      <c r="K785" s="65"/>
      <c r="L785" s="65"/>
      <c r="M785" s="68"/>
      <c r="N785" s="65"/>
      <c r="O785" s="65"/>
      <c r="P785" s="65"/>
      <c r="Q785" s="65"/>
      <c r="R785" s="65"/>
    </row>
    <row r="786" spans="2:18" ht="15" x14ac:dyDescent="0.25">
      <c r="B786" s="69"/>
      <c r="D786" s="70"/>
      <c r="E786" s="65"/>
      <c r="F786" s="65"/>
      <c r="G786" s="65"/>
      <c r="H786" s="65"/>
      <c r="I786" s="65"/>
      <c r="J786" s="65"/>
      <c r="K786" s="65"/>
      <c r="L786" s="65"/>
      <c r="M786" s="68"/>
      <c r="N786" s="65"/>
      <c r="O786" s="65"/>
      <c r="P786" s="65"/>
      <c r="Q786" s="65"/>
      <c r="R786" s="65"/>
    </row>
    <row r="787" spans="2:18" ht="15" x14ac:dyDescent="0.25">
      <c r="B787" s="69"/>
      <c r="D787" s="70"/>
      <c r="E787" s="65"/>
      <c r="F787" s="65"/>
      <c r="G787" s="65"/>
      <c r="H787" s="65"/>
      <c r="I787" s="65"/>
      <c r="J787" s="65"/>
      <c r="K787" s="65"/>
      <c r="L787" s="65"/>
      <c r="M787" s="68"/>
      <c r="N787" s="65"/>
      <c r="O787" s="65"/>
      <c r="P787" s="65"/>
      <c r="Q787" s="65"/>
      <c r="R787" s="65"/>
    </row>
    <row r="788" spans="2:18" ht="15" x14ac:dyDescent="0.25">
      <c r="B788" s="69"/>
      <c r="D788" s="70"/>
      <c r="E788" s="65"/>
      <c r="F788" s="65"/>
      <c r="G788" s="65"/>
      <c r="H788" s="65"/>
      <c r="I788" s="65"/>
      <c r="J788" s="65"/>
      <c r="K788" s="65"/>
      <c r="L788" s="65"/>
      <c r="M788" s="68"/>
      <c r="N788" s="65"/>
      <c r="O788" s="65"/>
      <c r="P788" s="65"/>
      <c r="Q788" s="65"/>
      <c r="R788" s="65"/>
    </row>
    <row r="789" spans="2:18" ht="15" x14ac:dyDescent="0.25">
      <c r="B789" s="69"/>
      <c r="D789" s="70"/>
      <c r="E789" s="65"/>
      <c r="F789" s="65"/>
      <c r="G789" s="65"/>
      <c r="H789" s="65"/>
      <c r="I789" s="65"/>
      <c r="J789" s="65"/>
      <c r="K789" s="65"/>
      <c r="L789" s="65"/>
      <c r="M789" s="68"/>
      <c r="N789" s="65"/>
      <c r="O789" s="65"/>
      <c r="P789" s="65"/>
      <c r="Q789" s="65"/>
      <c r="R789" s="65"/>
    </row>
    <row r="790" spans="2:18" ht="15" x14ac:dyDescent="0.25">
      <c r="B790" s="69"/>
      <c r="D790" s="70"/>
      <c r="E790" s="65"/>
      <c r="F790" s="65"/>
      <c r="G790" s="65"/>
      <c r="H790" s="65"/>
      <c r="I790" s="65"/>
      <c r="J790" s="65"/>
      <c r="K790" s="65"/>
      <c r="L790" s="65"/>
      <c r="M790" s="68"/>
      <c r="N790" s="65"/>
      <c r="O790" s="65"/>
      <c r="P790" s="65"/>
      <c r="Q790" s="65"/>
      <c r="R790" s="65"/>
    </row>
    <row r="791" spans="2:18" ht="15" x14ac:dyDescent="0.25">
      <c r="B791" s="69"/>
      <c r="D791" s="70"/>
      <c r="E791" s="65"/>
      <c r="F791" s="65"/>
      <c r="G791" s="65"/>
      <c r="H791" s="65"/>
      <c r="I791" s="65"/>
      <c r="J791" s="65"/>
      <c r="K791" s="65"/>
      <c r="L791" s="65"/>
      <c r="M791" s="68"/>
      <c r="N791" s="65"/>
      <c r="O791" s="65"/>
      <c r="P791" s="65"/>
      <c r="Q791" s="65"/>
      <c r="R791" s="65"/>
    </row>
    <row r="792" spans="2:18" ht="15" x14ac:dyDescent="0.25">
      <c r="B792" s="69"/>
      <c r="D792" s="70"/>
      <c r="E792" s="65"/>
      <c r="F792" s="65"/>
      <c r="G792" s="65"/>
      <c r="H792" s="65"/>
      <c r="I792" s="65"/>
      <c r="J792" s="65"/>
      <c r="K792" s="65"/>
      <c r="L792" s="65"/>
      <c r="M792" s="68"/>
      <c r="N792" s="65"/>
      <c r="O792" s="65"/>
      <c r="P792" s="65"/>
      <c r="Q792" s="65"/>
      <c r="R792" s="65"/>
    </row>
    <row r="793" spans="2:18" ht="15" x14ac:dyDescent="0.25">
      <c r="B793" s="69"/>
      <c r="D793" s="70"/>
      <c r="E793" s="65"/>
      <c r="F793" s="65"/>
      <c r="G793" s="65"/>
      <c r="H793" s="65"/>
      <c r="I793" s="65"/>
      <c r="J793" s="65"/>
      <c r="K793" s="65"/>
      <c r="L793" s="65"/>
      <c r="M793" s="68"/>
      <c r="N793" s="65"/>
      <c r="O793" s="65"/>
      <c r="P793" s="65"/>
      <c r="Q793" s="65"/>
      <c r="R793" s="65"/>
    </row>
    <row r="794" spans="2:18" ht="15" x14ac:dyDescent="0.25">
      <c r="B794" s="69"/>
      <c r="D794" s="70"/>
      <c r="E794" s="65"/>
      <c r="F794" s="65"/>
      <c r="G794" s="65"/>
      <c r="H794" s="65"/>
      <c r="I794" s="65"/>
      <c r="J794" s="65"/>
      <c r="K794" s="65"/>
      <c r="L794" s="65"/>
      <c r="M794" s="68"/>
      <c r="N794" s="65"/>
      <c r="O794" s="65"/>
      <c r="P794" s="65"/>
      <c r="Q794" s="65"/>
      <c r="R794" s="65"/>
    </row>
    <row r="795" spans="2:18" ht="15" x14ac:dyDescent="0.25">
      <c r="B795" s="69"/>
      <c r="D795" s="70"/>
      <c r="E795" s="65"/>
      <c r="F795" s="65"/>
      <c r="G795" s="65"/>
      <c r="H795" s="65"/>
      <c r="I795" s="65"/>
      <c r="J795" s="65"/>
      <c r="K795" s="65"/>
      <c r="L795" s="65"/>
      <c r="M795" s="68"/>
      <c r="N795" s="65"/>
      <c r="O795" s="65"/>
      <c r="P795" s="65"/>
      <c r="Q795" s="65"/>
      <c r="R795" s="65"/>
    </row>
    <row r="796" spans="2:18" ht="15" x14ac:dyDescent="0.25">
      <c r="B796" s="69"/>
      <c r="D796" s="70"/>
      <c r="E796" s="65"/>
      <c r="F796" s="65"/>
      <c r="G796" s="65"/>
      <c r="H796" s="65"/>
      <c r="I796" s="65"/>
      <c r="J796" s="65"/>
      <c r="K796" s="65"/>
      <c r="L796" s="65"/>
      <c r="M796" s="68"/>
      <c r="N796" s="65"/>
      <c r="O796" s="65"/>
      <c r="P796" s="65"/>
      <c r="Q796" s="65"/>
      <c r="R796" s="65"/>
    </row>
    <row r="797" spans="2:18" ht="15" x14ac:dyDescent="0.25">
      <c r="B797" s="69"/>
      <c r="D797" s="70"/>
      <c r="E797" s="65"/>
      <c r="F797" s="65"/>
      <c r="G797" s="65"/>
      <c r="H797" s="65"/>
      <c r="I797" s="65"/>
      <c r="J797" s="65"/>
      <c r="K797" s="65"/>
      <c r="L797" s="65"/>
      <c r="M797" s="68"/>
      <c r="N797" s="65"/>
      <c r="O797" s="65"/>
      <c r="P797" s="65"/>
      <c r="Q797" s="65"/>
      <c r="R797" s="65"/>
    </row>
    <row r="798" spans="2:18" ht="15" x14ac:dyDescent="0.25">
      <c r="B798" s="69"/>
      <c r="D798" s="70"/>
      <c r="E798" s="65"/>
      <c r="F798" s="65"/>
      <c r="G798" s="65"/>
      <c r="H798" s="65"/>
      <c r="I798" s="65"/>
      <c r="J798" s="65"/>
      <c r="K798" s="65"/>
      <c r="L798" s="65"/>
      <c r="M798" s="68"/>
      <c r="N798" s="65"/>
      <c r="O798" s="65"/>
      <c r="P798" s="65"/>
      <c r="Q798" s="65"/>
      <c r="R798" s="65"/>
    </row>
    <row r="799" spans="2:18" ht="15" x14ac:dyDescent="0.25">
      <c r="B799" s="69"/>
      <c r="D799" s="70"/>
      <c r="E799" s="65"/>
      <c r="F799" s="65"/>
      <c r="G799" s="65"/>
      <c r="H799" s="65"/>
      <c r="I799" s="65"/>
      <c r="J799" s="65"/>
      <c r="K799" s="65"/>
      <c r="L799" s="65"/>
      <c r="M799" s="68"/>
      <c r="N799" s="65"/>
      <c r="O799" s="65"/>
      <c r="P799" s="65"/>
      <c r="Q799" s="65"/>
      <c r="R799" s="65"/>
    </row>
    <row r="800" spans="2:18" ht="15" x14ac:dyDescent="0.25">
      <c r="B800" s="69"/>
      <c r="D800" s="70"/>
      <c r="E800" s="65"/>
      <c r="F800" s="65"/>
      <c r="G800" s="65"/>
      <c r="H800" s="65"/>
      <c r="I800" s="65"/>
      <c r="J800" s="65"/>
      <c r="K800" s="65"/>
      <c r="L800" s="65"/>
      <c r="M800" s="68"/>
      <c r="N800" s="65"/>
      <c r="O800" s="65"/>
      <c r="P800" s="65"/>
      <c r="Q800" s="65"/>
      <c r="R800" s="65"/>
    </row>
    <row r="801" spans="2:18" ht="15" x14ac:dyDescent="0.25">
      <c r="B801" s="69"/>
      <c r="D801" s="70"/>
      <c r="E801" s="65"/>
      <c r="F801" s="65"/>
      <c r="G801" s="65"/>
      <c r="H801" s="65"/>
      <c r="I801" s="65"/>
      <c r="J801" s="65"/>
      <c r="K801" s="65"/>
      <c r="L801" s="65"/>
      <c r="M801" s="68"/>
      <c r="N801" s="65"/>
      <c r="O801" s="65"/>
      <c r="P801" s="65"/>
      <c r="Q801" s="65"/>
      <c r="R801" s="65"/>
    </row>
    <row r="802" spans="2:18" ht="15" x14ac:dyDescent="0.25">
      <c r="B802" s="69"/>
      <c r="D802" s="70"/>
      <c r="E802" s="65"/>
      <c r="F802" s="65"/>
      <c r="G802" s="65"/>
      <c r="H802" s="65"/>
      <c r="I802" s="65"/>
      <c r="J802" s="65"/>
      <c r="K802" s="65"/>
      <c r="L802" s="65"/>
      <c r="M802" s="68"/>
      <c r="N802" s="65"/>
      <c r="O802" s="65"/>
      <c r="P802" s="65"/>
      <c r="Q802" s="65"/>
      <c r="R802" s="65"/>
    </row>
    <row r="803" spans="2:18" ht="15" x14ac:dyDescent="0.25">
      <c r="B803" s="69"/>
      <c r="D803" s="70"/>
      <c r="E803" s="65"/>
      <c r="F803" s="65"/>
      <c r="G803" s="65"/>
      <c r="H803" s="65"/>
      <c r="I803" s="65"/>
      <c r="J803" s="65"/>
      <c r="K803" s="65"/>
      <c r="L803" s="65"/>
      <c r="M803" s="68"/>
      <c r="N803" s="65"/>
      <c r="O803" s="65"/>
      <c r="P803" s="65"/>
      <c r="Q803" s="65"/>
      <c r="R803" s="65"/>
    </row>
    <row r="804" spans="2:18" ht="15" x14ac:dyDescent="0.25">
      <c r="B804" s="69"/>
      <c r="D804" s="70"/>
      <c r="E804" s="65"/>
      <c r="F804" s="65"/>
      <c r="G804" s="65"/>
      <c r="H804" s="65"/>
      <c r="I804" s="65"/>
      <c r="J804" s="65"/>
      <c r="K804" s="65"/>
      <c r="L804" s="65"/>
      <c r="M804" s="68"/>
      <c r="N804" s="65"/>
      <c r="O804" s="65"/>
      <c r="P804" s="65"/>
      <c r="Q804" s="65"/>
      <c r="R804" s="65"/>
    </row>
    <row r="805" spans="2:18" ht="15" x14ac:dyDescent="0.25">
      <c r="B805" s="69"/>
      <c r="D805" s="70"/>
      <c r="E805" s="65"/>
      <c r="F805" s="65"/>
      <c r="G805" s="65"/>
      <c r="H805" s="65"/>
      <c r="I805" s="65"/>
      <c r="J805" s="65"/>
      <c r="K805" s="65"/>
      <c r="L805" s="65"/>
      <c r="M805" s="68"/>
      <c r="N805" s="65"/>
      <c r="O805" s="65"/>
      <c r="P805" s="65"/>
      <c r="Q805" s="65"/>
      <c r="R805" s="65"/>
    </row>
    <row r="806" spans="2:18" ht="15" x14ac:dyDescent="0.25">
      <c r="B806" s="69"/>
      <c r="D806" s="70"/>
      <c r="E806" s="65"/>
      <c r="F806" s="65"/>
      <c r="G806" s="65"/>
      <c r="H806" s="65"/>
      <c r="I806" s="65"/>
      <c r="J806" s="65"/>
      <c r="K806" s="65"/>
      <c r="L806" s="65"/>
      <c r="M806" s="68"/>
      <c r="N806" s="65"/>
      <c r="O806" s="65"/>
      <c r="P806" s="65"/>
      <c r="Q806" s="65"/>
      <c r="R806" s="65"/>
    </row>
    <row r="807" spans="2:18" ht="15" x14ac:dyDescent="0.25">
      <c r="B807" s="69"/>
      <c r="D807" s="70"/>
      <c r="E807" s="65"/>
      <c r="F807" s="65"/>
      <c r="G807" s="65"/>
      <c r="H807" s="65"/>
      <c r="I807" s="65"/>
      <c r="J807" s="65"/>
      <c r="K807" s="65"/>
      <c r="L807" s="65"/>
      <c r="M807" s="68"/>
      <c r="N807" s="65"/>
      <c r="O807" s="65"/>
      <c r="P807" s="65"/>
      <c r="Q807" s="65"/>
      <c r="R807" s="65"/>
    </row>
    <row r="808" spans="2:18" ht="15" x14ac:dyDescent="0.25">
      <c r="B808" s="69"/>
      <c r="D808" s="70"/>
      <c r="E808" s="65"/>
      <c r="F808" s="65"/>
      <c r="G808" s="65"/>
      <c r="H808" s="65"/>
      <c r="I808" s="65"/>
      <c r="J808" s="65"/>
      <c r="K808" s="65"/>
      <c r="L808" s="65"/>
      <c r="M808" s="68"/>
      <c r="N808" s="65"/>
      <c r="O808" s="65"/>
      <c r="P808" s="65"/>
      <c r="Q808" s="65"/>
      <c r="R808" s="65"/>
    </row>
    <row r="809" spans="2:18" ht="15" x14ac:dyDescent="0.25">
      <c r="B809" s="69"/>
      <c r="D809" s="70"/>
      <c r="E809" s="65"/>
      <c r="F809" s="65"/>
      <c r="G809" s="65"/>
      <c r="H809" s="65"/>
      <c r="I809" s="65"/>
      <c r="J809" s="65"/>
      <c r="K809" s="65"/>
      <c r="L809" s="65"/>
      <c r="M809" s="68"/>
      <c r="N809" s="65"/>
      <c r="O809" s="65"/>
      <c r="P809" s="65"/>
      <c r="Q809" s="65"/>
      <c r="R809" s="65"/>
    </row>
    <row r="810" spans="2:18" ht="15" x14ac:dyDescent="0.25">
      <c r="B810" s="69"/>
      <c r="D810" s="70"/>
      <c r="E810" s="65"/>
      <c r="F810" s="65"/>
      <c r="G810" s="65"/>
      <c r="H810" s="65"/>
      <c r="I810" s="65"/>
      <c r="J810" s="65"/>
      <c r="K810" s="65"/>
      <c r="L810" s="65"/>
      <c r="M810" s="68"/>
      <c r="N810" s="65"/>
      <c r="O810" s="65"/>
      <c r="P810" s="65"/>
      <c r="Q810" s="65"/>
      <c r="R810" s="65"/>
    </row>
    <row r="811" spans="2:18" ht="15" x14ac:dyDescent="0.25">
      <c r="B811" s="69"/>
      <c r="D811" s="70"/>
      <c r="E811" s="65"/>
      <c r="F811" s="65"/>
      <c r="G811" s="65"/>
      <c r="H811" s="65"/>
      <c r="I811" s="65"/>
      <c r="J811" s="65"/>
      <c r="K811" s="65"/>
      <c r="L811" s="65"/>
      <c r="M811" s="68"/>
      <c r="N811" s="65"/>
      <c r="O811" s="65"/>
      <c r="P811" s="65"/>
      <c r="Q811" s="65"/>
      <c r="R811" s="65"/>
    </row>
    <row r="812" spans="2:18" ht="15" x14ac:dyDescent="0.25">
      <c r="B812" s="69"/>
      <c r="D812" s="70"/>
      <c r="E812" s="65"/>
      <c r="F812" s="65"/>
      <c r="G812" s="65"/>
      <c r="H812" s="65"/>
      <c r="I812" s="65"/>
      <c r="J812" s="65"/>
      <c r="K812" s="65"/>
      <c r="L812" s="65"/>
      <c r="M812" s="68"/>
      <c r="N812" s="65"/>
      <c r="O812" s="65"/>
      <c r="P812" s="65"/>
      <c r="Q812" s="65"/>
      <c r="R812" s="65"/>
    </row>
    <row r="813" spans="2:18" ht="15" x14ac:dyDescent="0.25">
      <c r="B813" s="69"/>
      <c r="D813" s="70"/>
      <c r="E813" s="65"/>
      <c r="F813" s="65"/>
      <c r="G813" s="65"/>
      <c r="H813" s="65"/>
      <c r="I813" s="65"/>
      <c r="J813" s="65"/>
      <c r="K813" s="65"/>
      <c r="L813" s="65"/>
      <c r="M813" s="68"/>
      <c r="N813" s="65"/>
      <c r="O813" s="65"/>
      <c r="P813" s="65"/>
      <c r="Q813" s="65"/>
      <c r="R813" s="65"/>
    </row>
    <row r="814" spans="2:18" ht="15" x14ac:dyDescent="0.25">
      <c r="B814" s="69"/>
      <c r="D814" s="70"/>
      <c r="E814" s="65"/>
      <c r="F814" s="65"/>
      <c r="G814" s="65"/>
      <c r="H814" s="65"/>
      <c r="I814" s="65"/>
      <c r="J814" s="65"/>
      <c r="K814" s="65"/>
      <c r="L814" s="65"/>
      <c r="M814" s="68"/>
      <c r="N814" s="65"/>
      <c r="O814" s="65"/>
      <c r="P814" s="65"/>
      <c r="Q814" s="65"/>
      <c r="R814" s="65"/>
    </row>
    <row r="815" spans="2:18" ht="15" x14ac:dyDescent="0.25">
      <c r="B815" s="69"/>
      <c r="D815" s="70"/>
      <c r="E815" s="65"/>
      <c r="F815" s="65"/>
      <c r="G815" s="65"/>
      <c r="H815" s="65"/>
      <c r="I815" s="65"/>
      <c r="J815" s="65"/>
      <c r="K815" s="65"/>
      <c r="L815" s="65"/>
      <c r="M815" s="68"/>
      <c r="N815" s="65"/>
      <c r="O815" s="65"/>
      <c r="P815" s="65"/>
      <c r="Q815" s="65"/>
      <c r="R815" s="65"/>
    </row>
    <row r="816" spans="2:18" ht="15" x14ac:dyDescent="0.25">
      <c r="B816" s="69"/>
      <c r="D816" s="70"/>
      <c r="E816" s="65"/>
      <c r="F816" s="65"/>
      <c r="G816" s="65"/>
      <c r="H816" s="65"/>
      <c r="I816" s="65"/>
      <c r="J816" s="65"/>
      <c r="K816" s="65"/>
      <c r="L816" s="65"/>
      <c r="M816" s="68"/>
      <c r="N816" s="65"/>
      <c r="O816" s="65"/>
      <c r="P816" s="65"/>
      <c r="Q816" s="65"/>
      <c r="R816" s="65"/>
    </row>
    <row r="817" spans="2:18" ht="15" x14ac:dyDescent="0.25">
      <c r="B817" s="69"/>
      <c r="D817" s="70"/>
      <c r="E817" s="65"/>
      <c r="F817" s="65"/>
      <c r="G817" s="65"/>
      <c r="H817" s="65"/>
      <c r="I817" s="65"/>
      <c r="J817" s="65"/>
      <c r="K817" s="65"/>
      <c r="L817" s="65"/>
      <c r="M817" s="68"/>
      <c r="N817" s="65"/>
      <c r="O817" s="65"/>
      <c r="P817" s="65"/>
      <c r="Q817" s="65"/>
      <c r="R817" s="65"/>
    </row>
    <row r="818" spans="2:18" ht="15" x14ac:dyDescent="0.25">
      <c r="B818" s="69"/>
      <c r="D818" s="70"/>
      <c r="E818" s="65"/>
      <c r="F818" s="65"/>
      <c r="G818" s="65"/>
      <c r="H818" s="65"/>
      <c r="I818" s="65"/>
      <c r="J818" s="65"/>
      <c r="K818" s="65"/>
      <c r="L818" s="65"/>
      <c r="M818" s="68"/>
      <c r="N818" s="65"/>
      <c r="O818" s="65"/>
      <c r="P818" s="65"/>
      <c r="Q818" s="65"/>
      <c r="R818" s="65"/>
    </row>
    <row r="819" spans="2:18" ht="15" x14ac:dyDescent="0.25">
      <c r="B819" s="69"/>
      <c r="D819" s="70"/>
      <c r="E819" s="65"/>
      <c r="F819" s="65"/>
      <c r="G819" s="65"/>
      <c r="H819" s="65"/>
      <c r="I819" s="65"/>
      <c r="J819" s="65"/>
      <c r="K819" s="65"/>
      <c r="L819" s="65"/>
      <c r="M819" s="68"/>
      <c r="N819" s="65"/>
      <c r="O819" s="65"/>
      <c r="P819" s="65"/>
      <c r="Q819" s="65"/>
      <c r="R819" s="65"/>
    </row>
    <row r="820" spans="2:18" ht="15" x14ac:dyDescent="0.25">
      <c r="B820" s="69"/>
      <c r="D820" s="70"/>
      <c r="E820" s="65"/>
      <c r="F820" s="65"/>
      <c r="G820" s="65"/>
      <c r="H820" s="65"/>
      <c r="I820" s="65"/>
      <c r="J820" s="65"/>
      <c r="K820" s="65"/>
      <c r="L820" s="65"/>
      <c r="M820" s="68"/>
      <c r="N820" s="65"/>
      <c r="O820" s="65"/>
      <c r="P820" s="65"/>
      <c r="Q820" s="65"/>
      <c r="R820" s="65"/>
    </row>
    <row r="821" spans="2:18" ht="15" x14ac:dyDescent="0.25">
      <c r="B821" s="69"/>
      <c r="D821" s="70"/>
      <c r="E821" s="65"/>
      <c r="F821" s="65"/>
      <c r="G821" s="65"/>
      <c r="H821" s="65"/>
      <c r="I821" s="65"/>
      <c r="J821" s="65"/>
      <c r="K821" s="65"/>
      <c r="L821" s="65"/>
      <c r="M821" s="68"/>
      <c r="N821" s="65"/>
      <c r="O821" s="65"/>
      <c r="P821" s="65"/>
      <c r="Q821" s="65"/>
      <c r="R821" s="65"/>
    </row>
    <row r="822" spans="2:18" ht="15" x14ac:dyDescent="0.25">
      <c r="B822" s="69"/>
      <c r="D822" s="70"/>
      <c r="E822" s="65"/>
      <c r="F822" s="65"/>
      <c r="G822" s="65"/>
      <c r="H822" s="65"/>
      <c r="I822" s="65"/>
      <c r="J822" s="65"/>
      <c r="K822" s="65"/>
      <c r="L822" s="65"/>
      <c r="M822" s="68"/>
      <c r="N822" s="65"/>
      <c r="O822" s="65"/>
      <c r="P822" s="65"/>
      <c r="Q822" s="65"/>
      <c r="R822" s="65"/>
    </row>
    <row r="823" spans="2:18" ht="15" x14ac:dyDescent="0.25">
      <c r="B823" s="69"/>
      <c r="D823" s="70"/>
      <c r="E823" s="65"/>
      <c r="F823" s="65"/>
      <c r="G823" s="65"/>
      <c r="H823" s="65"/>
      <c r="I823" s="65"/>
      <c r="J823" s="65"/>
      <c r="K823" s="65"/>
      <c r="L823" s="65"/>
      <c r="M823" s="68"/>
      <c r="N823" s="65"/>
      <c r="O823" s="65"/>
      <c r="P823" s="65"/>
      <c r="Q823" s="65"/>
      <c r="R823" s="65"/>
    </row>
    <row r="824" spans="2:18" ht="15" x14ac:dyDescent="0.25">
      <c r="B824" s="69"/>
      <c r="D824" s="70"/>
      <c r="E824" s="65"/>
      <c r="F824" s="65"/>
      <c r="G824" s="65"/>
      <c r="H824" s="65"/>
      <c r="I824" s="65"/>
      <c r="J824" s="65"/>
      <c r="K824" s="65"/>
      <c r="L824" s="65"/>
      <c r="M824" s="68"/>
      <c r="N824" s="65"/>
      <c r="O824" s="65"/>
      <c r="P824" s="65"/>
      <c r="Q824" s="65"/>
      <c r="R824" s="65"/>
    </row>
    <row r="825" spans="2:18" ht="15" x14ac:dyDescent="0.25">
      <c r="B825" s="69"/>
      <c r="D825" s="70"/>
      <c r="E825" s="65"/>
      <c r="F825" s="65"/>
      <c r="G825" s="65"/>
      <c r="H825" s="65"/>
      <c r="I825" s="65"/>
      <c r="J825" s="65"/>
      <c r="K825" s="65"/>
      <c r="L825" s="65"/>
      <c r="M825" s="68"/>
      <c r="N825" s="65"/>
      <c r="O825" s="65"/>
      <c r="P825" s="65"/>
      <c r="Q825" s="65"/>
      <c r="R825" s="65"/>
    </row>
    <row r="826" spans="2:18" ht="15" x14ac:dyDescent="0.25">
      <c r="B826" s="69"/>
      <c r="D826" s="70"/>
      <c r="E826" s="65"/>
      <c r="F826" s="65"/>
      <c r="G826" s="65"/>
      <c r="H826" s="65"/>
      <c r="I826" s="65"/>
      <c r="J826" s="65"/>
      <c r="K826" s="65"/>
      <c r="L826" s="65"/>
      <c r="M826" s="68"/>
      <c r="N826" s="65"/>
      <c r="O826" s="65"/>
      <c r="P826" s="65"/>
      <c r="Q826" s="65"/>
      <c r="R826" s="65"/>
    </row>
    <row r="827" spans="2:18" ht="15" x14ac:dyDescent="0.25">
      <c r="B827" s="69"/>
      <c r="D827" s="70"/>
      <c r="E827" s="65"/>
      <c r="F827" s="65"/>
      <c r="G827" s="65"/>
      <c r="H827" s="65"/>
      <c r="I827" s="65"/>
      <c r="J827" s="65"/>
      <c r="K827" s="65"/>
      <c r="L827" s="65"/>
      <c r="M827" s="68"/>
      <c r="N827" s="65"/>
      <c r="O827" s="65"/>
      <c r="P827" s="65"/>
      <c r="Q827" s="65"/>
      <c r="R827" s="65"/>
    </row>
    <row r="828" spans="2:18" ht="15" x14ac:dyDescent="0.25">
      <c r="B828" s="69"/>
      <c r="D828" s="70"/>
      <c r="E828" s="65"/>
      <c r="F828" s="65"/>
      <c r="G828" s="65"/>
      <c r="H828" s="65"/>
      <c r="I828" s="65"/>
      <c r="J828" s="65"/>
      <c r="K828" s="65"/>
      <c r="L828" s="65"/>
      <c r="M828" s="68"/>
      <c r="N828" s="65"/>
      <c r="O828" s="65"/>
      <c r="P828" s="65"/>
      <c r="Q828" s="65"/>
      <c r="R828" s="65"/>
    </row>
    <row r="829" spans="2:18" ht="15" x14ac:dyDescent="0.25">
      <c r="B829" s="69"/>
      <c r="D829" s="70"/>
      <c r="E829" s="65"/>
      <c r="F829" s="65"/>
      <c r="G829" s="65"/>
      <c r="H829" s="65"/>
      <c r="I829" s="65"/>
      <c r="J829" s="65"/>
      <c r="K829" s="65"/>
      <c r="L829" s="65"/>
      <c r="M829" s="68"/>
      <c r="N829" s="65"/>
      <c r="O829" s="65"/>
      <c r="P829" s="65"/>
      <c r="Q829" s="65"/>
      <c r="R829" s="65"/>
    </row>
    <row r="830" spans="2:18" ht="15" x14ac:dyDescent="0.25">
      <c r="B830" s="69"/>
      <c r="D830" s="70"/>
      <c r="E830" s="65"/>
      <c r="F830" s="65"/>
      <c r="G830" s="65"/>
      <c r="H830" s="65"/>
      <c r="I830" s="65"/>
      <c r="J830" s="65"/>
      <c r="K830" s="65"/>
      <c r="L830" s="65"/>
      <c r="M830" s="68"/>
      <c r="N830" s="65"/>
      <c r="O830" s="65"/>
      <c r="P830" s="65"/>
      <c r="Q830" s="65"/>
      <c r="R830" s="65"/>
    </row>
    <row r="831" spans="2:18" ht="15" x14ac:dyDescent="0.25">
      <c r="B831" s="69"/>
      <c r="D831" s="70"/>
      <c r="E831" s="65"/>
      <c r="F831" s="65"/>
      <c r="G831" s="65"/>
      <c r="H831" s="65"/>
      <c r="I831" s="65"/>
      <c r="J831" s="65"/>
      <c r="K831" s="65"/>
      <c r="L831" s="65"/>
      <c r="M831" s="68"/>
      <c r="N831" s="65"/>
      <c r="O831" s="65"/>
      <c r="P831" s="65"/>
      <c r="Q831" s="65"/>
      <c r="R831" s="65"/>
    </row>
    <row r="832" spans="2:18" ht="15" x14ac:dyDescent="0.25">
      <c r="B832" s="69"/>
      <c r="D832" s="70"/>
      <c r="E832" s="65"/>
      <c r="F832" s="65"/>
      <c r="G832" s="65"/>
      <c r="H832" s="65"/>
      <c r="I832" s="65"/>
      <c r="J832" s="65"/>
      <c r="K832" s="65"/>
      <c r="L832" s="65"/>
      <c r="M832" s="68"/>
      <c r="N832" s="65"/>
      <c r="O832" s="65"/>
      <c r="P832" s="65"/>
      <c r="Q832" s="65"/>
      <c r="R832" s="65"/>
    </row>
    <row r="833" spans="2:18" ht="15" x14ac:dyDescent="0.25">
      <c r="B833" s="69"/>
      <c r="D833" s="70"/>
      <c r="E833" s="65"/>
      <c r="F833" s="65"/>
      <c r="G833" s="65"/>
      <c r="H833" s="65"/>
      <c r="I833" s="65"/>
      <c r="J833" s="65"/>
      <c r="K833" s="65"/>
      <c r="L833" s="65"/>
      <c r="M833" s="68"/>
      <c r="N833" s="65"/>
      <c r="O833" s="65"/>
      <c r="P833" s="65"/>
      <c r="Q833" s="65"/>
      <c r="R833" s="65"/>
    </row>
    <row r="834" spans="2:18" ht="15" x14ac:dyDescent="0.25">
      <c r="B834" s="69"/>
      <c r="D834" s="70"/>
      <c r="E834" s="65"/>
      <c r="F834" s="65"/>
      <c r="G834" s="65"/>
      <c r="H834" s="65"/>
      <c r="I834" s="65"/>
      <c r="J834" s="65"/>
      <c r="K834" s="65"/>
      <c r="L834" s="65"/>
      <c r="M834" s="68"/>
      <c r="N834" s="65"/>
      <c r="O834" s="65"/>
      <c r="P834" s="65"/>
      <c r="Q834" s="65"/>
      <c r="R834" s="65"/>
    </row>
    <row r="835" spans="2:18" ht="15" x14ac:dyDescent="0.25">
      <c r="B835" s="69"/>
      <c r="D835" s="70"/>
      <c r="E835" s="65"/>
      <c r="F835" s="65"/>
      <c r="G835" s="65"/>
      <c r="H835" s="65"/>
      <c r="I835" s="65"/>
      <c r="J835" s="65"/>
      <c r="K835" s="65"/>
      <c r="L835" s="65"/>
      <c r="M835" s="68"/>
      <c r="N835" s="65"/>
      <c r="O835" s="65"/>
      <c r="P835" s="65"/>
      <c r="Q835" s="65"/>
      <c r="R835" s="65"/>
    </row>
    <row r="836" spans="2:18" ht="15" x14ac:dyDescent="0.25">
      <c r="B836" s="69"/>
      <c r="D836" s="70"/>
      <c r="E836" s="65"/>
      <c r="F836" s="65"/>
      <c r="G836" s="65"/>
      <c r="H836" s="65"/>
      <c r="I836" s="65"/>
      <c r="J836" s="65"/>
      <c r="K836" s="65"/>
      <c r="L836" s="65"/>
      <c r="M836" s="68"/>
      <c r="N836" s="65"/>
      <c r="O836" s="65"/>
      <c r="P836" s="65"/>
      <c r="Q836" s="65"/>
      <c r="R836" s="65"/>
    </row>
    <row r="837" spans="2:18" ht="15" x14ac:dyDescent="0.25">
      <c r="B837" s="69"/>
      <c r="D837" s="70"/>
      <c r="E837" s="65"/>
      <c r="F837" s="65"/>
      <c r="G837" s="65"/>
      <c r="H837" s="65"/>
      <c r="I837" s="65"/>
      <c r="J837" s="65"/>
      <c r="K837" s="65"/>
      <c r="L837" s="65"/>
      <c r="M837" s="68"/>
      <c r="N837" s="65"/>
      <c r="O837" s="65"/>
      <c r="P837" s="65"/>
      <c r="Q837" s="65"/>
      <c r="R837" s="65"/>
    </row>
    <row r="838" spans="2:18" ht="15" x14ac:dyDescent="0.25">
      <c r="B838" s="69"/>
      <c r="D838" s="70"/>
      <c r="E838" s="65"/>
      <c r="F838" s="65"/>
      <c r="G838" s="65"/>
      <c r="H838" s="65"/>
      <c r="I838" s="65"/>
      <c r="J838" s="65"/>
      <c r="K838" s="65"/>
      <c r="L838" s="65"/>
      <c r="M838" s="68"/>
      <c r="N838" s="65"/>
      <c r="O838" s="65"/>
      <c r="P838" s="65"/>
      <c r="Q838" s="65"/>
      <c r="R838" s="65"/>
    </row>
    <row r="839" spans="2:18" ht="15" x14ac:dyDescent="0.25">
      <c r="B839" s="69"/>
      <c r="D839" s="70"/>
      <c r="E839" s="65"/>
      <c r="F839" s="65"/>
      <c r="G839" s="65"/>
      <c r="H839" s="65"/>
      <c r="O839" s="65"/>
      <c r="P839" s="65"/>
      <c r="Q839" s="65"/>
      <c r="R839" s="65"/>
    </row>
    <row r="840" spans="2:18" ht="15" x14ac:dyDescent="0.25">
      <c r="B840" s="69"/>
      <c r="D840" s="70"/>
      <c r="E840" s="65"/>
      <c r="F840" s="65"/>
      <c r="G840" s="65"/>
      <c r="H840" s="65"/>
      <c r="O840" s="65"/>
      <c r="P840" s="65"/>
      <c r="Q840" s="65"/>
      <c r="R840" s="65"/>
    </row>
    <row r="841" spans="2:18" ht="15" x14ac:dyDescent="0.25">
      <c r="B841" s="69"/>
      <c r="D841" s="70"/>
      <c r="E841" s="65"/>
      <c r="F841" s="65"/>
      <c r="G841" s="65"/>
      <c r="H841" s="65"/>
      <c r="O841" s="65"/>
      <c r="P841" s="65"/>
      <c r="Q841" s="65"/>
      <c r="R841" s="65"/>
    </row>
  </sheetData>
  <mergeCells count="6">
    <mergeCell ref="B8:D8"/>
    <mergeCell ref="A1:E1"/>
    <mergeCell ref="B3:B5"/>
    <mergeCell ref="C3:C5"/>
    <mergeCell ref="D4:D5"/>
    <mergeCell ref="D6:D7"/>
  </mergeCells>
  <pageMargins left="0.7" right="0.7" top="0.75" bottom="0.75" header="0" footer="0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AC86EA-86D4-4595-9E3D-CD040074D642}">
  <sheetPr>
    <tabColor theme="0"/>
  </sheetPr>
  <dimension ref="A2:K72"/>
  <sheetViews>
    <sheetView showGridLines="0" workbookViewId="0">
      <pane xSplit="3" ySplit="6" topLeftCell="D7" activePane="bottomRight" state="frozen"/>
      <selection pane="topRight" activeCell="D1" sqref="D1"/>
      <selection pane="bottomLeft" activeCell="A6" sqref="A6"/>
      <selection pane="bottomRight" activeCell="B6" sqref="B6:H24"/>
    </sheetView>
  </sheetViews>
  <sheetFormatPr defaultColWidth="7.75" defaultRowHeight="15" x14ac:dyDescent="0.25"/>
  <cols>
    <col min="1" max="1" width="4.875" style="75" customWidth="1"/>
    <col min="2" max="2" width="5.75" style="75" customWidth="1"/>
    <col min="3" max="3" width="35.5" style="75" customWidth="1"/>
    <col min="4" max="4" width="15.75" style="75" hidden="1" customWidth="1"/>
    <col min="5" max="5" width="14.375" style="75" hidden="1" customWidth="1"/>
    <col min="6" max="6" width="14.5" style="75" hidden="1" customWidth="1"/>
    <col min="7" max="8" width="15.75" style="75" bestFit="1" customWidth="1"/>
    <col min="9" max="9" width="15.25" style="75" customWidth="1"/>
    <col min="10" max="10" width="14.5" style="75" customWidth="1"/>
    <col min="11" max="11" width="14.625" style="75" customWidth="1"/>
    <col min="12" max="16" width="13.25" style="75" customWidth="1"/>
    <col min="17" max="17" width="15.375" style="75" bestFit="1" customWidth="1"/>
    <col min="18" max="25" width="14.5" style="75" customWidth="1"/>
    <col min="26" max="16384" width="7.75" style="75"/>
  </cols>
  <sheetData>
    <row r="2" spans="1:9" x14ac:dyDescent="0.25">
      <c r="B2" s="76" t="s">
        <v>91</v>
      </c>
    </row>
    <row r="3" spans="1:9" x14ac:dyDescent="0.25">
      <c r="B3" s="76" t="s">
        <v>92</v>
      </c>
    </row>
    <row r="4" spans="1:9" x14ac:dyDescent="0.25">
      <c r="B4" s="76" t="s">
        <v>93</v>
      </c>
    </row>
    <row r="6" spans="1:9" ht="30" x14ac:dyDescent="0.25">
      <c r="B6" s="77" t="s">
        <v>94</v>
      </c>
      <c r="C6" s="78" t="s">
        <v>95</v>
      </c>
      <c r="D6" s="79" t="s">
        <v>96</v>
      </c>
      <c r="E6" s="79" t="s">
        <v>97</v>
      </c>
      <c r="F6" s="80" t="s">
        <v>98</v>
      </c>
      <c r="G6" s="79" t="s">
        <v>99</v>
      </c>
      <c r="H6" s="81" t="s">
        <v>100</v>
      </c>
      <c r="I6" s="81" t="s">
        <v>101</v>
      </c>
    </row>
    <row r="7" spans="1:9" x14ac:dyDescent="0.25">
      <c r="B7" s="82">
        <v>1</v>
      </c>
      <c r="C7" s="83" t="s">
        <v>102</v>
      </c>
      <c r="D7" s="84" t="s">
        <v>103</v>
      </c>
      <c r="E7" s="84" t="s">
        <v>104</v>
      </c>
      <c r="F7" s="85">
        <v>44645</v>
      </c>
      <c r="G7" s="86">
        <v>37749900</v>
      </c>
      <c r="H7" s="86">
        <f t="shared" ref="H7:H13" si="0">G7</f>
        <v>37749900</v>
      </c>
      <c r="I7" s="86">
        <v>2</v>
      </c>
    </row>
    <row r="8" spans="1:9" x14ac:dyDescent="0.25">
      <c r="B8" s="87">
        <f t="shared" ref="B8:B23" si="1">B7+1</f>
        <v>2</v>
      </c>
      <c r="C8" s="83" t="s">
        <v>105</v>
      </c>
      <c r="D8" s="84" t="s">
        <v>103</v>
      </c>
      <c r="E8" s="84" t="s">
        <v>106</v>
      </c>
      <c r="F8" s="85">
        <v>44645</v>
      </c>
      <c r="G8" s="86">
        <v>4170100</v>
      </c>
      <c r="H8" s="86">
        <f t="shared" si="0"/>
        <v>4170100</v>
      </c>
      <c r="I8" s="86">
        <v>3</v>
      </c>
    </row>
    <row r="9" spans="1:9" x14ac:dyDescent="0.25">
      <c r="B9" s="87">
        <f t="shared" si="1"/>
        <v>3</v>
      </c>
      <c r="C9" s="83" t="s">
        <v>107</v>
      </c>
      <c r="D9" s="84" t="s">
        <v>103</v>
      </c>
      <c r="E9" s="84" t="s">
        <v>108</v>
      </c>
      <c r="F9" s="85">
        <v>44645</v>
      </c>
      <c r="G9" s="86">
        <v>146880</v>
      </c>
      <c r="H9" s="86">
        <f t="shared" si="0"/>
        <v>146880</v>
      </c>
      <c r="I9" s="86">
        <v>4</v>
      </c>
    </row>
    <row r="10" spans="1:9" x14ac:dyDescent="0.25">
      <c r="B10" s="87">
        <f t="shared" si="1"/>
        <v>4</v>
      </c>
      <c r="C10" s="83" t="s">
        <v>109</v>
      </c>
      <c r="D10" s="84" t="s">
        <v>103</v>
      </c>
      <c r="E10" s="84" t="s">
        <v>110</v>
      </c>
      <c r="F10" s="85">
        <v>44645</v>
      </c>
      <c r="G10" s="86">
        <v>9431650</v>
      </c>
      <c r="H10" s="86">
        <f t="shared" si="0"/>
        <v>9431650</v>
      </c>
      <c r="I10" s="86">
        <v>7</v>
      </c>
    </row>
    <row r="11" spans="1:9" x14ac:dyDescent="0.25">
      <c r="A11" s="88"/>
      <c r="B11" s="87">
        <f t="shared" si="1"/>
        <v>5</v>
      </c>
      <c r="C11" s="89" t="s">
        <v>111</v>
      </c>
      <c r="D11" s="90" t="s">
        <v>112</v>
      </c>
      <c r="E11" s="90">
        <v>68856</v>
      </c>
      <c r="F11" s="91">
        <v>44818</v>
      </c>
      <c r="G11" s="92">
        <v>236000</v>
      </c>
      <c r="H11" s="92">
        <f t="shared" si="0"/>
        <v>236000</v>
      </c>
      <c r="I11" s="92">
        <v>1</v>
      </c>
    </row>
    <row r="12" spans="1:9" x14ac:dyDescent="0.25">
      <c r="A12" s="88"/>
      <c r="B12" s="87">
        <f t="shared" si="1"/>
        <v>6</v>
      </c>
      <c r="C12" s="93" t="s">
        <v>113</v>
      </c>
      <c r="D12" s="94" t="s">
        <v>112</v>
      </c>
      <c r="E12" s="94">
        <v>68857</v>
      </c>
      <c r="F12" s="95">
        <v>44818</v>
      </c>
      <c r="G12" s="96">
        <v>251600</v>
      </c>
      <c r="H12" s="96">
        <f t="shared" si="0"/>
        <v>251600</v>
      </c>
      <c r="I12" s="96">
        <v>1</v>
      </c>
    </row>
    <row r="13" spans="1:9" x14ac:dyDescent="0.25">
      <c r="A13" s="88"/>
      <c r="B13" s="87">
        <f t="shared" si="1"/>
        <v>7</v>
      </c>
      <c r="C13" s="93" t="s">
        <v>114</v>
      </c>
      <c r="D13" s="94" t="s">
        <v>112</v>
      </c>
      <c r="E13" s="94">
        <v>69255</v>
      </c>
      <c r="F13" s="95">
        <v>44834</v>
      </c>
      <c r="G13" s="96">
        <v>16590000</v>
      </c>
      <c r="H13" s="96">
        <f t="shared" si="0"/>
        <v>16590000</v>
      </c>
      <c r="I13" s="96">
        <v>1</v>
      </c>
    </row>
    <row r="14" spans="1:9" x14ac:dyDescent="0.25">
      <c r="A14" s="88"/>
      <c r="B14" s="87">
        <f t="shared" si="1"/>
        <v>8</v>
      </c>
      <c r="C14" s="93" t="s">
        <v>115</v>
      </c>
      <c r="D14" s="94" t="s">
        <v>112</v>
      </c>
      <c r="E14" s="94">
        <v>69256</v>
      </c>
      <c r="F14" s="95">
        <v>44834</v>
      </c>
      <c r="G14" s="96">
        <f>D34+D35</f>
        <v>56548655</v>
      </c>
      <c r="H14" s="96">
        <f>E34+E35+F34+F35</f>
        <v>28274327.5</v>
      </c>
      <c r="I14" s="97" t="s">
        <v>116</v>
      </c>
    </row>
    <row r="15" spans="1:9" x14ac:dyDescent="0.25">
      <c r="A15" s="88"/>
      <c r="B15" s="87">
        <f t="shared" si="1"/>
        <v>9</v>
      </c>
      <c r="C15" s="98" t="s">
        <v>117</v>
      </c>
      <c r="D15" s="94" t="s">
        <v>112</v>
      </c>
      <c r="E15" s="99">
        <v>69257</v>
      </c>
      <c r="F15" s="95">
        <v>44834</v>
      </c>
      <c r="G15" s="96">
        <f>D39+D40</f>
        <v>20585195</v>
      </c>
      <c r="H15" s="96">
        <f>E39+E40+F39+F40</f>
        <v>10292597.5</v>
      </c>
      <c r="I15" s="96">
        <v>6</v>
      </c>
    </row>
    <row r="16" spans="1:9" x14ac:dyDescent="0.25">
      <c r="A16" s="88"/>
      <c r="B16" s="87">
        <f t="shared" si="1"/>
        <v>10</v>
      </c>
      <c r="C16" s="93" t="s">
        <v>118</v>
      </c>
      <c r="D16" s="94" t="s">
        <v>112</v>
      </c>
      <c r="E16" s="94">
        <v>68699</v>
      </c>
      <c r="F16" s="95">
        <v>44810</v>
      </c>
      <c r="G16" s="96">
        <v>5000</v>
      </c>
      <c r="H16" s="96">
        <f t="shared" ref="H16:H18" si="2">G16</f>
        <v>5000</v>
      </c>
      <c r="I16" s="96">
        <v>1</v>
      </c>
    </row>
    <row r="17" spans="1:9" x14ac:dyDescent="0.25">
      <c r="A17" s="88"/>
      <c r="B17" s="87">
        <f t="shared" si="1"/>
        <v>11</v>
      </c>
      <c r="C17" s="93" t="s">
        <v>119</v>
      </c>
      <c r="D17" s="94" t="s">
        <v>112</v>
      </c>
      <c r="E17" s="99">
        <v>68700</v>
      </c>
      <c r="F17" s="95">
        <v>44810</v>
      </c>
      <c r="G17" s="96">
        <v>750000</v>
      </c>
      <c r="H17" s="96">
        <f t="shared" si="2"/>
        <v>750000</v>
      </c>
      <c r="I17" s="96">
        <v>1</v>
      </c>
    </row>
    <row r="18" spans="1:9" x14ac:dyDescent="0.25">
      <c r="A18" s="88"/>
      <c r="B18" s="87">
        <f t="shared" si="1"/>
        <v>12</v>
      </c>
      <c r="C18" s="93" t="s">
        <v>120</v>
      </c>
      <c r="D18" s="94" t="s">
        <v>112</v>
      </c>
      <c r="E18" s="99">
        <v>67061</v>
      </c>
      <c r="F18" s="95">
        <v>44735</v>
      </c>
      <c r="G18" s="96">
        <v>4000</v>
      </c>
      <c r="H18" s="96">
        <f t="shared" si="2"/>
        <v>4000</v>
      </c>
      <c r="I18" s="96">
        <v>1</v>
      </c>
    </row>
    <row r="19" spans="1:9" x14ac:dyDescent="0.25">
      <c r="A19" s="88"/>
      <c r="B19" s="87">
        <f t="shared" si="1"/>
        <v>13</v>
      </c>
      <c r="C19" s="98" t="s">
        <v>121</v>
      </c>
      <c r="D19" s="94" t="s">
        <v>112</v>
      </c>
      <c r="E19" s="99">
        <v>71593</v>
      </c>
      <c r="F19" s="95">
        <v>44945</v>
      </c>
      <c r="G19" s="96">
        <f>D44+D45</f>
        <v>18218260</v>
      </c>
      <c r="H19" s="96">
        <f>E44+E45</f>
        <v>4178500</v>
      </c>
      <c r="I19" s="96">
        <v>5</v>
      </c>
    </row>
    <row r="20" spans="1:9" x14ac:dyDescent="0.25">
      <c r="A20" s="88"/>
      <c r="B20" s="87">
        <f t="shared" si="1"/>
        <v>14</v>
      </c>
      <c r="C20" s="98" t="s">
        <v>122</v>
      </c>
      <c r="D20" s="94" t="s">
        <v>112</v>
      </c>
      <c r="E20" s="99">
        <v>71594</v>
      </c>
      <c r="F20" s="95">
        <v>44945</v>
      </c>
      <c r="G20" s="96">
        <f>D49+D50</f>
        <v>67395463</v>
      </c>
      <c r="H20" s="96">
        <f>E49+E50+325</f>
        <v>15458000</v>
      </c>
      <c r="I20" s="96">
        <v>5</v>
      </c>
    </row>
    <row r="21" spans="1:9" x14ac:dyDescent="0.25">
      <c r="B21" s="87">
        <f t="shared" si="1"/>
        <v>15</v>
      </c>
      <c r="C21" s="98" t="s">
        <v>123</v>
      </c>
      <c r="D21" s="94" t="s">
        <v>112</v>
      </c>
      <c r="E21" s="99"/>
      <c r="F21" s="95"/>
      <c r="G21" s="96">
        <f>G59</f>
        <v>66919072.439999998</v>
      </c>
      <c r="H21" s="96">
        <v>0</v>
      </c>
      <c r="I21" s="96" t="s">
        <v>124</v>
      </c>
    </row>
    <row r="22" spans="1:9" x14ac:dyDescent="0.25">
      <c r="B22" s="87">
        <f t="shared" si="1"/>
        <v>16</v>
      </c>
      <c r="C22" s="98" t="s">
        <v>47</v>
      </c>
      <c r="D22" s="94" t="s">
        <v>112</v>
      </c>
      <c r="E22" s="99"/>
      <c r="F22" s="95"/>
      <c r="G22" s="96">
        <f t="shared" ref="G22:G23" si="3">G60</f>
        <v>9960619.5680000018</v>
      </c>
      <c r="H22" s="96">
        <v>0</v>
      </c>
      <c r="I22" s="96" t="s">
        <v>124</v>
      </c>
    </row>
    <row r="23" spans="1:9" x14ac:dyDescent="0.25">
      <c r="B23" s="87">
        <f t="shared" si="1"/>
        <v>17</v>
      </c>
      <c r="C23" s="98" t="s">
        <v>125</v>
      </c>
      <c r="D23" s="94" t="s">
        <v>112</v>
      </c>
      <c r="E23" s="99"/>
      <c r="F23" s="95"/>
      <c r="G23" s="96">
        <f t="shared" si="3"/>
        <v>2527666</v>
      </c>
      <c r="H23" s="96">
        <v>0</v>
      </c>
      <c r="I23" s="96" t="s">
        <v>124</v>
      </c>
    </row>
    <row r="24" spans="1:9" x14ac:dyDescent="0.25">
      <c r="B24" s="87"/>
      <c r="C24" s="100" t="s">
        <v>45</v>
      </c>
      <c r="D24" s="101"/>
      <c r="E24" s="100"/>
      <c r="F24" s="101"/>
      <c r="G24" s="102">
        <f t="shared" ref="G24:H24" si="4">SUM(G7:G23)</f>
        <v>311490061.00800002</v>
      </c>
      <c r="H24" s="102">
        <f t="shared" si="4"/>
        <v>127538555</v>
      </c>
      <c r="I24" s="102"/>
    </row>
    <row r="25" spans="1:9" x14ac:dyDescent="0.25">
      <c r="G25" s="103"/>
    </row>
    <row r="26" spans="1:9" x14ac:dyDescent="0.25">
      <c r="B26" s="75" t="s">
        <v>126</v>
      </c>
      <c r="G26" s="104"/>
      <c r="H26" s="105"/>
    </row>
    <row r="27" spans="1:9" x14ac:dyDescent="0.25">
      <c r="B27" s="88">
        <v>1</v>
      </c>
      <c r="C27" s="75" t="s">
        <v>127</v>
      </c>
    </row>
    <row r="30" spans="1:9" x14ac:dyDescent="0.25">
      <c r="B30" s="76" t="s">
        <v>128</v>
      </c>
    </row>
    <row r="32" spans="1:9" ht="30" x14ac:dyDescent="0.25">
      <c r="B32" s="106" t="s">
        <v>94</v>
      </c>
      <c r="C32" s="107" t="s">
        <v>46</v>
      </c>
      <c r="D32" s="108" t="s">
        <v>129</v>
      </c>
      <c r="E32" s="106" t="s">
        <v>130</v>
      </c>
      <c r="F32" s="109" t="s">
        <v>131</v>
      </c>
      <c r="G32" s="106" t="s">
        <v>132</v>
      </c>
      <c r="H32" s="106" t="s">
        <v>133</v>
      </c>
    </row>
    <row r="33" spans="2:8" ht="30" x14ac:dyDescent="0.25">
      <c r="B33" s="87">
        <v>1</v>
      </c>
      <c r="C33" s="110" t="s">
        <v>134</v>
      </c>
      <c r="D33" s="111"/>
      <c r="E33" s="111"/>
      <c r="F33" s="111"/>
      <c r="G33" s="111"/>
      <c r="H33" s="111"/>
    </row>
    <row r="34" spans="2:8" x14ac:dyDescent="0.25">
      <c r="B34" s="112"/>
      <c r="C34" s="98" t="s">
        <v>135</v>
      </c>
      <c r="D34" s="111">
        <v>51879500</v>
      </c>
      <c r="E34" s="111">
        <f>D34*0.25</f>
        <v>12969875</v>
      </c>
      <c r="F34" s="111">
        <f>E34</f>
        <v>12969875</v>
      </c>
      <c r="G34" s="111">
        <f t="shared" ref="G34:H34" si="5">F34</f>
        <v>12969875</v>
      </c>
      <c r="H34" s="111">
        <f t="shared" si="5"/>
        <v>12969875</v>
      </c>
    </row>
    <row r="35" spans="2:8" x14ac:dyDescent="0.25">
      <c r="B35" s="112"/>
      <c r="C35" s="98" t="s">
        <v>136</v>
      </c>
      <c r="D35" s="111">
        <f>SUM(E35:H35)</f>
        <v>4669155</v>
      </c>
      <c r="E35" s="111">
        <v>0</v>
      </c>
      <c r="F35" s="111">
        <f>(D34-E34)*12%*6/12</f>
        <v>2334577.5</v>
      </c>
      <c r="G35" s="111">
        <f>(D34-E34-F34)*12%*6/12</f>
        <v>1556385</v>
      </c>
      <c r="H35" s="111">
        <f>(D34-E34-F34-G34)*12%*6/12</f>
        <v>778192.5</v>
      </c>
    </row>
    <row r="36" spans="2:8" x14ac:dyDescent="0.25">
      <c r="B36" s="112"/>
      <c r="C36" s="98" t="s">
        <v>137</v>
      </c>
      <c r="D36" s="113"/>
      <c r="E36" s="114" t="s">
        <v>138</v>
      </c>
      <c r="F36" s="115" t="s">
        <v>139</v>
      </c>
      <c r="G36" s="115" t="s">
        <v>140</v>
      </c>
      <c r="H36" s="115" t="s">
        <v>141</v>
      </c>
    </row>
    <row r="37" spans="2:8" x14ac:dyDescent="0.25">
      <c r="B37" s="112"/>
      <c r="C37" s="98"/>
      <c r="D37" s="113"/>
      <c r="E37" s="113"/>
      <c r="F37" s="113"/>
      <c r="G37" s="113"/>
      <c r="H37" s="113"/>
    </row>
    <row r="38" spans="2:8" ht="30" x14ac:dyDescent="0.25">
      <c r="B38" s="82">
        <v>2</v>
      </c>
      <c r="C38" s="110" t="s">
        <v>142</v>
      </c>
      <c r="D38" s="113"/>
      <c r="E38" s="113"/>
      <c r="F38" s="113"/>
      <c r="G38" s="113"/>
      <c r="H38" s="113"/>
    </row>
    <row r="39" spans="2:8" x14ac:dyDescent="0.25">
      <c r="B39" s="112"/>
      <c r="C39" s="98" t="s">
        <v>135</v>
      </c>
      <c r="D39" s="111">
        <v>18885500</v>
      </c>
      <c r="E39" s="111">
        <f>D39*0.25</f>
        <v>4721375</v>
      </c>
      <c r="F39" s="111">
        <f>E39</f>
        <v>4721375</v>
      </c>
      <c r="G39" s="111">
        <f t="shared" ref="G39:H39" si="6">F39</f>
        <v>4721375</v>
      </c>
      <c r="H39" s="111">
        <f t="shared" si="6"/>
        <v>4721375</v>
      </c>
    </row>
    <row r="40" spans="2:8" x14ac:dyDescent="0.25">
      <c r="B40" s="112"/>
      <c r="C40" s="98" t="s">
        <v>136</v>
      </c>
      <c r="D40" s="111">
        <f>SUM(E40:H40)</f>
        <v>1699695</v>
      </c>
      <c r="E40" s="111">
        <v>0</v>
      </c>
      <c r="F40" s="111">
        <f>(D39-E39)*12%*6/12</f>
        <v>849847.5</v>
      </c>
      <c r="G40" s="111">
        <f>(D39-E39-F39)*12%*6/12</f>
        <v>566565</v>
      </c>
      <c r="H40" s="111">
        <f>(D39-E39-F39-G39)*12%*6/12</f>
        <v>283282.5</v>
      </c>
    </row>
    <row r="41" spans="2:8" x14ac:dyDescent="0.25">
      <c r="B41" s="112"/>
      <c r="C41" s="98" t="s">
        <v>137</v>
      </c>
      <c r="D41" s="113"/>
      <c r="E41" s="114" t="s">
        <v>138</v>
      </c>
      <c r="F41" s="115" t="s">
        <v>139</v>
      </c>
      <c r="G41" s="115" t="s">
        <v>140</v>
      </c>
      <c r="H41" s="115" t="s">
        <v>141</v>
      </c>
    </row>
    <row r="42" spans="2:8" x14ac:dyDescent="0.25">
      <c r="B42" s="112"/>
      <c r="C42" s="98"/>
      <c r="D42" s="113"/>
      <c r="E42" s="113"/>
      <c r="F42" s="113"/>
      <c r="G42" s="113"/>
      <c r="H42" s="113"/>
    </row>
    <row r="43" spans="2:8" ht="30" x14ac:dyDescent="0.25">
      <c r="B43" s="87">
        <v>3</v>
      </c>
      <c r="C43" s="110" t="s">
        <v>143</v>
      </c>
      <c r="D43" s="113"/>
      <c r="E43" s="113"/>
      <c r="F43" s="113"/>
      <c r="G43" s="113"/>
      <c r="H43" s="113"/>
    </row>
    <row r="44" spans="2:8" x14ac:dyDescent="0.25">
      <c r="B44" s="112"/>
      <c r="C44" s="98" t="s">
        <v>135</v>
      </c>
      <c r="D44" s="111">
        <v>16714000</v>
      </c>
      <c r="E44" s="111">
        <f>D44*0.25</f>
        <v>4178500</v>
      </c>
      <c r="F44" s="111">
        <f>E44</f>
        <v>4178500</v>
      </c>
      <c r="G44" s="111">
        <f t="shared" ref="G44:H44" si="7">F44</f>
        <v>4178500</v>
      </c>
      <c r="H44" s="111">
        <f t="shared" si="7"/>
        <v>4178500</v>
      </c>
    </row>
    <row r="45" spans="2:8" x14ac:dyDescent="0.25">
      <c r="B45" s="112"/>
      <c r="C45" s="98" t="s">
        <v>136</v>
      </c>
      <c r="D45" s="111">
        <f>SUM(E45:H45)</f>
        <v>1504260</v>
      </c>
      <c r="E45" s="111">
        <v>0</v>
      </c>
      <c r="F45" s="111">
        <v>752130</v>
      </c>
      <c r="G45" s="111">
        <v>501420</v>
      </c>
      <c r="H45" s="111">
        <v>250710</v>
      </c>
    </row>
    <row r="46" spans="2:8" x14ac:dyDescent="0.25">
      <c r="B46" s="112"/>
      <c r="C46" s="98" t="s">
        <v>137</v>
      </c>
      <c r="D46" s="113"/>
      <c r="E46" s="114" t="s">
        <v>138</v>
      </c>
      <c r="F46" s="115" t="s">
        <v>144</v>
      </c>
      <c r="G46" s="115" t="s">
        <v>145</v>
      </c>
      <c r="H46" s="115" t="s">
        <v>146</v>
      </c>
    </row>
    <row r="47" spans="2:8" x14ac:dyDescent="0.25">
      <c r="B47" s="112"/>
      <c r="C47" s="98"/>
      <c r="D47" s="113"/>
      <c r="E47" s="114"/>
      <c r="F47" s="115"/>
      <c r="G47" s="115"/>
      <c r="H47" s="115"/>
    </row>
    <row r="48" spans="2:8" ht="30" x14ac:dyDescent="0.25">
      <c r="B48" s="87">
        <v>4</v>
      </c>
      <c r="C48" s="110" t="s">
        <v>147</v>
      </c>
      <c r="D48" s="113"/>
      <c r="E48" s="114"/>
      <c r="F48" s="115"/>
      <c r="G48" s="115"/>
      <c r="H48" s="115"/>
    </row>
    <row r="49" spans="2:11" x14ac:dyDescent="0.25">
      <c r="B49" s="98"/>
      <c r="C49" s="98" t="s">
        <v>135</v>
      </c>
      <c r="D49" s="111">
        <v>61830700</v>
      </c>
      <c r="E49" s="111">
        <f>D49*0.25</f>
        <v>15457675</v>
      </c>
      <c r="F49" s="111">
        <f>E49</f>
        <v>15457675</v>
      </c>
      <c r="G49" s="111">
        <f t="shared" ref="G49:H49" si="8">F49</f>
        <v>15457675</v>
      </c>
      <c r="H49" s="111">
        <f t="shared" si="8"/>
        <v>15457675</v>
      </c>
    </row>
    <row r="50" spans="2:11" x14ac:dyDescent="0.25">
      <c r="B50" s="98"/>
      <c r="C50" s="98" t="s">
        <v>136</v>
      </c>
      <c r="D50" s="111">
        <f>SUM(E50:H50)</f>
        <v>5564763</v>
      </c>
      <c r="E50" s="111">
        <v>0</v>
      </c>
      <c r="F50" s="111">
        <v>2782382</v>
      </c>
      <c r="G50" s="111">
        <v>1854921</v>
      </c>
      <c r="H50" s="111">
        <v>927460</v>
      </c>
    </row>
    <row r="51" spans="2:11" x14ac:dyDescent="0.25">
      <c r="B51" s="98"/>
      <c r="C51" s="98" t="s">
        <v>137</v>
      </c>
      <c r="D51" s="113"/>
      <c r="E51" s="114" t="s">
        <v>138</v>
      </c>
      <c r="F51" s="115" t="s">
        <v>144</v>
      </c>
      <c r="G51" s="115" t="s">
        <v>145</v>
      </c>
      <c r="H51" s="115" t="s">
        <v>146</v>
      </c>
    </row>
    <row r="52" spans="2:11" x14ac:dyDescent="0.25">
      <c r="B52" s="98"/>
      <c r="C52" s="98"/>
      <c r="D52" s="113"/>
      <c r="E52" s="114"/>
      <c r="F52" s="115"/>
      <c r="G52" s="115"/>
      <c r="H52" s="115"/>
    </row>
    <row r="53" spans="2:11" x14ac:dyDescent="0.25">
      <c r="B53" s="98"/>
      <c r="C53" s="98"/>
      <c r="D53" s="116">
        <f>D34+D39+D44+D49+D35+D40+D45+D50</f>
        <v>162747573</v>
      </c>
      <c r="E53" s="116">
        <f>E34+E39+E44+E49+E35+E40+E45+E50</f>
        <v>37327425</v>
      </c>
      <c r="F53" s="116">
        <f>F34+F39+F44+F49+F35+F40+F45+F50</f>
        <v>44046362</v>
      </c>
      <c r="G53" s="116">
        <f t="shared" ref="G53:H53" si="9">G34+G39+G44+G49+G35+G40+G45+G50</f>
        <v>41806716</v>
      </c>
      <c r="H53" s="116">
        <f t="shared" si="9"/>
        <v>39567070</v>
      </c>
    </row>
    <row r="56" spans="2:11" x14ac:dyDescent="0.25">
      <c r="B56" s="76" t="s">
        <v>148</v>
      </c>
    </row>
    <row r="58" spans="2:11" ht="33" customHeight="1" x14ac:dyDescent="0.25">
      <c r="B58" s="106" t="s">
        <v>94</v>
      </c>
      <c r="C58" s="107" t="s">
        <v>46</v>
      </c>
      <c r="D58" s="108" t="s">
        <v>149</v>
      </c>
      <c r="E58" s="108" t="s">
        <v>150</v>
      </c>
      <c r="F58" s="106" t="s">
        <v>151</v>
      </c>
      <c r="G58" s="108" t="s">
        <v>57</v>
      </c>
      <c r="H58" s="106" t="s">
        <v>152</v>
      </c>
      <c r="I58" s="106" t="s">
        <v>153</v>
      </c>
      <c r="J58" s="106" t="s">
        <v>154</v>
      </c>
      <c r="K58" s="106" t="s">
        <v>155</v>
      </c>
    </row>
    <row r="59" spans="2:11" x14ac:dyDescent="0.25">
      <c r="B59" s="112">
        <v>1</v>
      </c>
      <c r="C59" s="98" t="s">
        <v>123</v>
      </c>
      <c r="D59" s="117">
        <v>4915.46</v>
      </c>
      <c r="E59" s="98">
        <f>60380-15000</f>
        <v>45380</v>
      </c>
      <c r="F59" s="118">
        <v>0.3</v>
      </c>
      <c r="G59" s="111">
        <f>D59*E59*F59</f>
        <v>66919072.439999998</v>
      </c>
      <c r="H59" s="111">
        <f>G59*0.25</f>
        <v>16729768.109999999</v>
      </c>
      <c r="I59" s="111">
        <f>H59</f>
        <v>16729768.109999999</v>
      </c>
      <c r="J59" s="111">
        <f t="shared" ref="J59:K59" si="10">I59</f>
        <v>16729768.109999999</v>
      </c>
      <c r="K59" s="111">
        <f t="shared" si="10"/>
        <v>16729768.109999999</v>
      </c>
    </row>
    <row r="60" spans="2:11" x14ac:dyDescent="0.25">
      <c r="B60" s="112">
        <v>2</v>
      </c>
      <c r="C60" s="98" t="s">
        <v>47</v>
      </c>
      <c r="D60" s="117">
        <v>10974.68</v>
      </c>
      <c r="E60" s="98">
        <f>60380-15000</f>
        <v>45380</v>
      </c>
      <c r="F60" s="118">
        <v>0.02</v>
      </c>
      <c r="G60" s="111">
        <f t="shared" ref="G60:G61" si="11">D60*E60*F60</f>
        <v>9960619.5680000018</v>
      </c>
      <c r="H60" s="111">
        <f t="shared" ref="H60:H61" si="12">G60*0.25</f>
        <v>2490154.8920000005</v>
      </c>
      <c r="I60" s="111">
        <f t="shared" ref="I60:K61" si="13">H60</f>
        <v>2490154.8920000005</v>
      </c>
      <c r="J60" s="111">
        <f t="shared" si="13"/>
        <v>2490154.8920000005</v>
      </c>
      <c r="K60" s="111">
        <f t="shared" si="13"/>
        <v>2490154.8920000005</v>
      </c>
    </row>
    <row r="61" spans="2:11" x14ac:dyDescent="0.25">
      <c r="B61" s="112">
        <v>3</v>
      </c>
      <c r="C61" s="98" t="s">
        <v>125</v>
      </c>
      <c r="D61" s="98">
        <v>5570</v>
      </c>
      <c r="E61" s="98">
        <f>E60*0.5</f>
        <v>22690</v>
      </c>
      <c r="F61" s="118">
        <v>0.02</v>
      </c>
      <c r="G61" s="111">
        <f t="shared" si="11"/>
        <v>2527666</v>
      </c>
      <c r="H61" s="111">
        <f t="shared" si="12"/>
        <v>631916.5</v>
      </c>
      <c r="I61" s="111">
        <f t="shared" si="13"/>
        <v>631916.5</v>
      </c>
      <c r="J61" s="111">
        <f t="shared" si="13"/>
        <v>631916.5</v>
      </c>
      <c r="K61" s="111">
        <f t="shared" si="13"/>
        <v>631916.5</v>
      </c>
    </row>
    <row r="62" spans="2:11" x14ac:dyDescent="0.25">
      <c r="B62" s="112"/>
      <c r="C62" s="98"/>
      <c r="D62" s="98"/>
      <c r="E62" s="98"/>
      <c r="F62" s="98"/>
      <c r="G62" s="98"/>
      <c r="H62" s="98"/>
      <c r="I62" s="98"/>
      <c r="J62" s="98"/>
      <c r="K62" s="98"/>
    </row>
    <row r="63" spans="2:11" x14ac:dyDescent="0.25">
      <c r="B63" s="112"/>
      <c r="C63" s="98"/>
      <c r="D63" s="98"/>
      <c r="E63" s="98"/>
      <c r="F63" s="98"/>
      <c r="G63" s="116">
        <f>SUM(G59:G62)</f>
        <v>79407358.008000001</v>
      </c>
      <c r="H63" s="116">
        <f t="shared" ref="H63:K63" si="14">SUM(H59:H62)</f>
        <v>19851839.502</v>
      </c>
      <c r="I63" s="116">
        <f t="shared" si="14"/>
        <v>19851839.502</v>
      </c>
      <c r="J63" s="116">
        <f t="shared" si="14"/>
        <v>19851839.502</v>
      </c>
      <c r="K63" s="116">
        <f t="shared" si="14"/>
        <v>19851839.502</v>
      </c>
    </row>
    <row r="64" spans="2:11" x14ac:dyDescent="0.25">
      <c r="B64" s="88"/>
    </row>
    <row r="65" spans="2:2" x14ac:dyDescent="0.25">
      <c r="B65" s="88"/>
    </row>
    <row r="66" spans="2:2" x14ac:dyDescent="0.25">
      <c r="B66" s="88"/>
    </row>
    <row r="67" spans="2:2" x14ac:dyDescent="0.25">
      <c r="B67" s="88"/>
    </row>
    <row r="68" spans="2:2" x14ac:dyDescent="0.25">
      <c r="B68" s="88"/>
    </row>
    <row r="69" spans="2:2" x14ac:dyDescent="0.25">
      <c r="B69" s="88"/>
    </row>
    <row r="70" spans="2:2" x14ac:dyDescent="0.25">
      <c r="B70" s="88"/>
    </row>
    <row r="71" spans="2:2" x14ac:dyDescent="0.25">
      <c r="B71" s="88"/>
    </row>
    <row r="72" spans="2:2" x14ac:dyDescent="0.25">
      <c r="B72" s="88"/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06F588-9B0E-427C-AD46-3683F09226FB}">
  <dimension ref="A1:S995"/>
  <sheetViews>
    <sheetView topLeftCell="A31" workbookViewId="0">
      <selection activeCell="G48" sqref="G48"/>
    </sheetView>
  </sheetViews>
  <sheetFormatPr defaultColWidth="12.625" defaultRowHeight="15" customHeight="1" x14ac:dyDescent="0.2"/>
  <cols>
    <col min="1" max="1" width="6" style="64" customWidth="1"/>
    <col min="2" max="2" width="16.75" style="64" customWidth="1"/>
    <col min="3" max="3" width="11.5" style="73" customWidth="1"/>
    <col min="4" max="4" width="15" style="73" bestFit="1" customWidth="1"/>
    <col min="5" max="6" width="10.375" style="73" customWidth="1"/>
    <col min="7" max="7" width="11.75" style="73" customWidth="1"/>
    <col min="8" max="8" width="10.125" style="73" customWidth="1"/>
    <col min="9" max="9" width="16.125" style="73" customWidth="1"/>
    <col min="10" max="10" width="16.5" style="64" bestFit="1" customWidth="1"/>
    <col min="11" max="11" width="4.875" style="64" bestFit="1" customWidth="1"/>
    <col min="12" max="19" width="7.625" style="64" customWidth="1"/>
    <col min="20" max="16384" width="12.625" style="64"/>
  </cols>
  <sheetData>
    <row r="1" spans="1:19" x14ac:dyDescent="0.2">
      <c r="K1" s="63"/>
      <c r="L1" s="63"/>
      <c r="M1" s="63"/>
      <c r="N1" s="63"/>
      <c r="O1" s="63"/>
      <c r="P1" s="63"/>
      <c r="Q1" s="63"/>
      <c r="R1" s="63"/>
      <c r="S1" s="63"/>
    </row>
    <row r="2" spans="1:19" x14ac:dyDescent="0.2">
      <c r="B2" s="64" t="s">
        <v>181</v>
      </c>
      <c r="C2" s="73">
        <v>74747</v>
      </c>
      <c r="D2" s="73">
        <f>C2*2000</f>
        <v>149494000</v>
      </c>
      <c r="K2" s="63"/>
      <c r="L2" s="63"/>
      <c r="M2" s="63"/>
      <c r="N2" s="63"/>
      <c r="O2" s="63"/>
      <c r="P2" s="63"/>
      <c r="Q2" s="63"/>
      <c r="R2" s="63"/>
      <c r="S2" s="63"/>
    </row>
    <row r="3" spans="1:19" ht="14.25" x14ac:dyDescent="0.2"/>
    <row r="4" spans="1:19" ht="14.25" x14ac:dyDescent="0.2"/>
    <row r="5" spans="1:19" ht="14.25" x14ac:dyDescent="0.2"/>
    <row r="6" spans="1:19" ht="49.5" x14ac:dyDescent="0.2">
      <c r="A6" s="126" t="s">
        <v>33</v>
      </c>
      <c r="B6" s="126" t="s">
        <v>48</v>
      </c>
      <c r="C6" s="127" t="s">
        <v>186</v>
      </c>
      <c r="D6" s="127" t="s">
        <v>209</v>
      </c>
      <c r="E6" s="127" t="s">
        <v>243</v>
      </c>
      <c r="F6" s="127" t="s">
        <v>244</v>
      </c>
      <c r="G6" s="127" t="s">
        <v>245</v>
      </c>
      <c r="H6" s="127" t="s">
        <v>183</v>
      </c>
      <c r="I6" s="127" t="s">
        <v>30</v>
      </c>
      <c r="J6" s="127" t="s">
        <v>210</v>
      </c>
    </row>
    <row r="7" spans="1:19" ht="16.5" x14ac:dyDescent="0.3">
      <c r="A7" s="120">
        <v>1</v>
      </c>
      <c r="B7" s="120" t="s">
        <v>184</v>
      </c>
      <c r="C7" s="121">
        <v>1667.95</v>
      </c>
      <c r="D7" s="121">
        <v>702.45</v>
      </c>
      <c r="E7" s="121">
        <v>0</v>
      </c>
      <c r="F7" s="121">
        <v>227.29</v>
      </c>
      <c r="G7" s="121">
        <v>0</v>
      </c>
      <c r="H7" s="121">
        <f>117.69+424.71</f>
        <v>542.4</v>
      </c>
      <c r="I7" s="121">
        <f>SUM(C7:H7)</f>
        <v>3140.09</v>
      </c>
      <c r="J7" s="122">
        <f>I7*10.764</f>
        <v>33799.928760000003</v>
      </c>
    </row>
    <row r="8" spans="1:19" ht="16.5" x14ac:dyDescent="0.3">
      <c r="A8" s="120">
        <v>2</v>
      </c>
      <c r="B8" s="120" t="s">
        <v>208</v>
      </c>
      <c r="C8" s="121">
        <v>2390.9699999999998</v>
      </c>
      <c r="D8" s="121">
        <v>413.25</v>
      </c>
      <c r="E8" s="121">
        <v>0</v>
      </c>
      <c r="F8" s="121">
        <v>379.75</v>
      </c>
      <c r="G8" s="121">
        <v>0</v>
      </c>
      <c r="H8" s="121">
        <v>8.14</v>
      </c>
      <c r="I8" s="121">
        <f t="shared" ref="I8:I34" si="0">SUM(C8:H8)</f>
        <v>3192.1099999999997</v>
      </c>
      <c r="J8" s="122">
        <f t="shared" ref="J8:J34" si="1">I8*10.764</f>
        <v>34359.872039999995</v>
      </c>
    </row>
    <row r="9" spans="1:19" ht="16.5" x14ac:dyDescent="0.3">
      <c r="A9" s="120">
        <v>3</v>
      </c>
      <c r="B9" s="120" t="s">
        <v>239</v>
      </c>
      <c r="C9" s="121">
        <v>2425.65</v>
      </c>
      <c r="D9" s="121">
        <v>412.71</v>
      </c>
      <c r="E9" s="121">
        <v>0</v>
      </c>
      <c r="F9" s="121">
        <v>377.49</v>
      </c>
      <c r="G9" s="121">
        <v>0</v>
      </c>
      <c r="H9" s="121">
        <v>8.14</v>
      </c>
      <c r="I9" s="121">
        <f t="shared" si="0"/>
        <v>3223.9900000000002</v>
      </c>
      <c r="J9" s="122">
        <f t="shared" si="1"/>
        <v>34703.028360000004</v>
      </c>
    </row>
    <row r="10" spans="1:19" ht="16.5" x14ac:dyDescent="0.3">
      <c r="A10" s="120">
        <v>4</v>
      </c>
      <c r="B10" s="120" t="s">
        <v>240</v>
      </c>
      <c r="C10" s="121">
        <v>0</v>
      </c>
      <c r="D10" s="121">
        <v>0</v>
      </c>
      <c r="E10" s="121">
        <v>0</v>
      </c>
      <c r="F10" s="121">
        <v>0</v>
      </c>
      <c r="G10" s="121">
        <v>3463.45</v>
      </c>
      <c r="H10" s="121">
        <v>0</v>
      </c>
      <c r="I10" s="121">
        <f t="shared" si="0"/>
        <v>3463.45</v>
      </c>
      <c r="J10" s="122">
        <f t="shared" si="1"/>
        <v>37280.575799999999</v>
      </c>
    </row>
    <row r="11" spans="1:19" ht="16.5" x14ac:dyDescent="0.3">
      <c r="A11" s="120">
        <v>5</v>
      </c>
      <c r="B11" s="120" t="s">
        <v>206</v>
      </c>
      <c r="C11" s="121">
        <v>0</v>
      </c>
      <c r="D11" s="121">
        <v>0</v>
      </c>
      <c r="E11" s="121">
        <v>0</v>
      </c>
      <c r="F11" s="121">
        <v>0</v>
      </c>
      <c r="G11" s="121">
        <v>3463.45</v>
      </c>
      <c r="H11" s="121">
        <v>0</v>
      </c>
      <c r="I11" s="121">
        <f t="shared" si="0"/>
        <v>3463.45</v>
      </c>
      <c r="J11" s="122">
        <f t="shared" si="1"/>
        <v>37280.575799999999</v>
      </c>
    </row>
    <row r="12" spans="1:19" ht="16.5" x14ac:dyDescent="0.3">
      <c r="A12" s="120">
        <v>6</v>
      </c>
      <c r="B12" s="120" t="s">
        <v>207</v>
      </c>
      <c r="C12" s="121">
        <v>0</v>
      </c>
      <c r="D12" s="121">
        <v>0</v>
      </c>
      <c r="E12" s="121">
        <v>0</v>
      </c>
      <c r="F12" s="121">
        <v>0</v>
      </c>
      <c r="G12" s="121">
        <v>3463.45</v>
      </c>
      <c r="H12" s="121">
        <v>0</v>
      </c>
      <c r="I12" s="121">
        <f t="shared" si="0"/>
        <v>3463.45</v>
      </c>
      <c r="J12" s="122">
        <f t="shared" si="1"/>
        <v>37280.575799999999</v>
      </c>
    </row>
    <row r="13" spans="1:19" ht="15.75" customHeight="1" x14ac:dyDescent="0.3">
      <c r="A13" s="120">
        <v>7</v>
      </c>
      <c r="B13" s="120" t="s">
        <v>241</v>
      </c>
      <c r="C13" s="121">
        <v>43.22</v>
      </c>
      <c r="D13" s="121">
        <v>422.69</v>
      </c>
      <c r="E13" s="121">
        <v>0</v>
      </c>
      <c r="F13" s="121">
        <v>0</v>
      </c>
      <c r="G13" s="121">
        <v>2203.1</v>
      </c>
      <c r="H13" s="121">
        <v>570.32000000000005</v>
      </c>
      <c r="I13" s="121">
        <f t="shared" si="0"/>
        <v>3239.33</v>
      </c>
      <c r="J13" s="122">
        <f t="shared" si="1"/>
        <v>34868.148119999998</v>
      </c>
      <c r="K13" s="66"/>
      <c r="L13" s="66"/>
      <c r="M13" s="66"/>
      <c r="N13" s="66"/>
      <c r="O13" s="66"/>
      <c r="P13" s="66"/>
      <c r="Q13" s="66"/>
      <c r="R13" s="66"/>
      <c r="S13" s="66"/>
    </row>
    <row r="14" spans="1:19" ht="15.75" customHeight="1" x14ac:dyDescent="0.3">
      <c r="A14" s="120">
        <v>8</v>
      </c>
      <c r="B14" s="120" t="s">
        <v>242</v>
      </c>
      <c r="C14" s="121">
        <f>372.35+381.14</f>
        <v>753.49</v>
      </c>
      <c r="D14" s="121">
        <f>218.03+218.92</f>
        <v>436.95</v>
      </c>
      <c r="E14" s="121">
        <f>144+157.45</f>
        <v>301.45</v>
      </c>
      <c r="F14" s="121">
        <v>0</v>
      </c>
      <c r="G14" s="121"/>
      <c r="H14" s="121">
        <f>2.58*2+20.07</f>
        <v>25.23</v>
      </c>
      <c r="I14" s="121">
        <f t="shared" si="0"/>
        <v>1517.1200000000001</v>
      </c>
      <c r="J14" s="122">
        <f t="shared" si="1"/>
        <v>16330.27968</v>
      </c>
    </row>
    <row r="15" spans="1:19" ht="15.75" customHeight="1" x14ac:dyDescent="0.3">
      <c r="A15" s="120">
        <v>9</v>
      </c>
      <c r="B15" s="120" t="s">
        <v>187</v>
      </c>
      <c r="C15" s="121">
        <f>516.35+570.71</f>
        <v>1087.06</v>
      </c>
      <c r="D15" s="121">
        <f>218.03+218.92</f>
        <v>436.95</v>
      </c>
      <c r="E15" s="121">
        <v>0</v>
      </c>
      <c r="F15" s="121">
        <v>0</v>
      </c>
      <c r="G15" s="121"/>
      <c r="H15" s="121">
        <f t="shared" ref="H15:H34" si="2">2.58*2</f>
        <v>5.16</v>
      </c>
      <c r="I15" s="121">
        <f t="shared" si="0"/>
        <v>1529.17</v>
      </c>
      <c r="J15" s="122">
        <f t="shared" si="1"/>
        <v>16459.98588</v>
      </c>
    </row>
    <row r="16" spans="1:19" ht="15.75" customHeight="1" x14ac:dyDescent="0.3">
      <c r="A16" s="120">
        <v>10</v>
      </c>
      <c r="B16" s="120" t="s">
        <v>188</v>
      </c>
      <c r="C16" s="121">
        <f>516.35+570.71</f>
        <v>1087.06</v>
      </c>
      <c r="D16" s="121">
        <f>218.03+218.92</f>
        <v>436.95</v>
      </c>
      <c r="E16" s="121">
        <v>0</v>
      </c>
      <c r="F16" s="121">
        <v>0</v>
      </c>
      <c r="G16" s="121"/>
      <c r="H16" s="121">
        <f t="shared" si="2"/>
        <v>5.16</v>
      </c>
      <c r="I16" s="121">
        <f t="shared" si="0"/>
        <v>1529.17</v>
      </c>
      <c r="J16" s="122">
        <f t="shared" si="1"/>
        <v>16459.98588</v>
      </c>
    </row>
    <row r="17" spans="1:10" ht="15.75" customHeight="1" x14ac:dyDescent="0.3">
      <c r="A17" s="120">
        <v>11</v>
      </c>
      <c r="B17" s="120" t="s">
        <v>189</v>
      </c>
      <c r="C17" s="121">
        <f>516.35+574.85</f>
        <v>1091.2</v>
      </c>
      <c r="D17" s="121">
        <f>218.03+218.92</f>
        <v>436.95</v>
      </c>
      <c r="E17" s="121">
        <v>0</v>
      </c>
      <c r="F17" s="121">
        <v>0</v>
      </c>
      <c r="G17" s="121"/>
      <c r="H17" s="121">
        <f t="shared" si="2"/>
        <v>5.16</v>
      </c>
      <c r="I17" s="121">
        <f t="shared" si="0"/>
        <v>1533.3100000000002</v>
      </c>
      <c r="J17" s="122">
        <f t="shared" si="1"/>
        <v>16504.548839999999</v>
      </c>
    </row>
    <row r="18" spans="1:10" ht="15.75" customHeight="1" x14ac:dyDescent="0.3">
      <c r="A18" s="120">
        <v>12</v>
      </c>
      <c r="B18" s="120" t="s">
        <v>190</v>
      </c>
      <c r="C18" s="121">
        <f>518.01+615.3</f>
        <v>1133.31</v>
      </c>
      <c r="D18" s="121">
        <f>218.03+218.83</f>
        <v>436.86</v>
      </c>
      <c r="E18" s="121">
        <v>0</v>
      </c>
      <c r="F18" s="121">
        <v>0</v>
      </c>
      <c r="G18" s="121"/>
      <c r="H18" s="121">
        <f t="shared" si="2"/>
        <v>5.16</v>
      </c>
      <c r="I18" s="121">
        <f t="shared" si="0"/>
        <v>1575.3300000000002</v>
      </c>
      <c r="J18" s="122">
        <f t="shared" si="1"/>
        <v>16956.85212</v>
      </c>
    </row>
    <row r="19" spans="1:10" ht="15.75" customHeight="1" x14ac:dyDescent="0.3">
      <c r="A19" s="120">
        <v>13</v>
      </c>
      <c r="B19" s="120" t="s">
        <v>191</v>
      </c>
      <c r="C19" s="121">
        <f>518.01+623</f>
        <v>1141.01</v>
      </c>
      <c r="D19" s="121">
        <f>218.03+218.69</f>
        <v>436.72</v>
      </c>
      <c r="E19" s="121">
        <v>0</v>
      </c>
      <c r="F19" s="121">
        <v>0</v>
      </c>
      <c r="G19" s="121"/>
      <c r="H19" s="121">
        <f t="shared" si="2"/>
        <v>5.16</v>
      </c>
      <c r="I19" s="121">
        <f t="shared" si="0"/>
        <v>1582.89</v>
      </c>
      <c r="J19" s="122">
        <f t="shared" si="1"/>
        <v>17038.22796</v>
      </c>
    </row>
    <row r="20" spans="1:10" ht="15.75" customHeight="1" x14ac:dyDescent="0.3">
      <c r="A20" s="120">
        <v>14</v>
      </c>
      <c r="B20" s="120" t="s">
        <v>192</v>
      </c>
      <c r="C20" s="121">
        <f>518.01+623</f>
        <v>1141.01</v>
      </c>
      <c r="D20" s="121">
        <f>218.03+218.69</f>
        <v>436.72</v>
      </c>
      <c r="E20" s="121">
        <v>0</v>
      </c>
      <c r="F20" s="121">
        <v>0</v>
      </c>
      <c r="G20" s="121"/>
      <c r="H20" s="121">
        <f t="shared" si="2"/>
        <v>5.16</v>
      </c>
      <c r="I20" s="121">
        <f t="shared" si="0"/>
        <v>1582.89</v>
      </c>
      <c r="J20" s="122">
        <f t="shared" si="1"/>
        <v>17038.22796</v>
      </c>
    </row>
    <row r="21" spans="1:10" ht="15.75" customHeight="1" x14ac:dyDescent="0.3">
      <c r="A21" s="120">
        <v>15</v>
      </c>
      <c r="B21" s="120" t="s">
        <v>193</v>
      </c>
      <c r="C21" s="121">
        <f>387.61+499.29</f>
        <v>886.90000000000009</v>
      </c>
      <c r="D21" s="121">
        <f>218.03+218.69</f>
        <v>436.72</v>
      </c>
      <c r="E21" s="121">
        <f>144.88+187.95</f>
        <v>332.83</v>
      </c>
      <c r="F21" s="121">
        <v>0</v>
      </c>
      <c r="G21" s="121"/>
      <c r="H21" s="121">
        <f t="shared" si="2"/>
        <v>5.16</v>
      </c>
      <c r="I21" s="121">
        <f t="shared" si="0"/>
        <v>1661.6100000000001</v>
      </c>
      <c r="J21" s="122">
        <f t="shared" si="1"/>
        <v>17885.570039999999</v>
      </c>
    </row>
    <row r="22" spans="1:10" ht="15.75" customHeight="1" x14ac:dyDescent="0.3">
      <c r="A22" s="120">
        <v>16</v>
      </c>
      <c r="B22" s="120" t="s">
        <v>194</v>
      </c>
      <c r="C22" s="121">
        <f>532.49+687.24</f>
        <v>1219.73</v>
      </c>
      <c r="D22" s="121">
        <f t="shared" ref="D22:D27" si="3">218.03+218.69</f>
        <v>436.72</v>
      </c>
      <c r="E22" s="121">
        <v>0</v>
      </c>
      <c r="F22" s="121">
        <v>0</v>
      </c>
      <c r="G22" s="121"/>
      <c r="H22" s="121">
        <f t="shared" si="2"/>
        <v>5.16</v>
      </c>
      <c r="I22" s="121">
        <f t="shared" si="0"/>
        <v>1661.6100000000001</v>
      </c>
      <c r="J22" s="122">
        <f t="shared" si="1"/>
        <v>17885.570039999999</v>
      </c>
    </row>
    <row r="23" spans="1:10" s="125" customFormat="1" ht="16.5" x14ac:dyDescent="0.3">
      <c r="A23" s="120">
        <v>17</v>
      </c>
      <c r="B23" s="120" t="s">
        <v>195</v>
      </c>
      <c r="C23" s="121">
        <f>546.6+687.24</f>
        <v>1233.8400000000001</v>
      </c>
      <c r="D23" s="121">
        <f t="shared" si="3"/>
        <v>436.72</v>
      </c>
      <c r="E23" s="121">
        <v>0</v>
      </c>
      <c r="F23" s="121">
        <v>0</v>
      </c>
      <c r="G23" s="121"/>
      <c r="H23" s="121">
        <f t="shared" si="2"/>
        <v>5.16</v>
      </c>
      <c r="I23" s="121">
        <f t="shared" si="0"/>
        <v>1675.7200000000003</v>
      </c>
      <c r="J23" s="122">
        <f t="shared" si="1"/>
        <v>18037.450080000002</v>
      </c>
    </row>
    <row r="24" spans="1:10" ht="15.75" customHeight="1" x14ac:dyDescent="0.3">
      <c r="A24" s="120">
        <v>18</v>
      </c>
      <c r="B24" s="120" t="s">
        <v>196</v>
      </c>
      <c r="C24" s="121">
        <f t="shared" ref="C24:C27" si="4">546.6+687.24</f>
        <v>1233.8400000000001</v>
      </c>
      <c r="D24" s="121">
        <f t="shared" si="3"/>
        <v>436.72</v>
      </c>
      <c r="E24" s="121">
        <v>0</v>
      </c>
      <c r="F24" s="121">
        <v>0</v>
      </c>
      <c r="G24" s="121"/>
      <c r="H24" s="121">
        <f t="shared" si="2"/>
        <v>5.16</v>
      </c>
      <c r="I24" s="121">
        <f t="shared" si="0"/>
        <v>1675.7200000000003</v>
      </c>
      <c r="J24" s="122">
        <f t="shared" si="1"/>
        <v>18037.450080000002</v>
      </c>
    </row>
    <row r="25" spans="1:10" ht="15.75" customHeight="1" x14ac:dyDescent="0.3">
      <c r="A25" s="120">
        <v>19</v>
      </c>
      <c r="B25" s="120" t="s">
        <v>197</v>
      </c>
      <c r="C25" s="121">
        <f t="shared" si="4"/>
        <v>1233.8400000000001</v>
      </c>
      <c r="D25" s="121">
        <f t="shared" si="3"/>
        <v>436.72</v>
      </c>
      <c r="E25" s="121">
        <v>0</v>
      </c>
      <c r="F25" s="121">
        <v>0</v>
      </c>
      <c r="G25" s="121"/>
      <c r="H25" s="121">
        <f t="shared" si="2"/>
        <v>5.16</v>
      </c>
      <c r="I25" s="121">
        <f t="shared" si="0"/>
        <v>1675.7200000000003</v>
      </c>
      <c r="J25" s="122">
        <f t="shared" si="1"/>
        <v>18037.450080000002</v>
      </c>
    </row>
    <row r="26" spans="1:10" ht="15.75" customHeight="1" x14ac:dyDescent="0.3">
      <c r="A26" s="120">
        <v>20</v>
      </c>
      <c r="B26" s="120" t="s">
        <v>198</v>
      </c>
      <c r="C26" s="121">
        <f t="shared" si="4"/>
        <v>1233.8400000000001</v>
      </c>
      <c r="D26" s="121">
        <f t="shared" si="3"/>
        <v>436.72</v>
      </c>
      <c r="E26" s="121">
        <v>0</v>
      </c>
      <c r="F26" s="121">
        <v>0</v>
      </c>
      <c r="G26" s="121"/>
      <c r="H26" s="121">
        <f t="shared" si="2"/>
        <v>5.16</v>
      </c>
      <c r="I26" s="121">
        <f t="shared" si="0"/>
        <v>1675.7200000000003</v>
      </c>
      <c r="J26" s="122">
        <f t="shared" si="1"/>
        <v>18037.450080000002</v>
      </c>
    </row>
    <row r="27" spans="1:10" ht="15.75" customHeight="1" x14ac:dyDescent="0.3">
      <c r="A27" s="120">
        <v>21</v>
      </c>
      <c r="B27" s="120" t="s">
        <v>199</v>
      </c>
      <c r="C27" s="121">
        <f t="shared" si="4"/>
        <v>1233.8400000000001</v>
      </c>
      <c r="D27" s="121">
        <f t="shared" si="3"/>
        <v>436.72</v>
      </c>
      <c r="E27" s="121">
        <v>0</v>
      </c>
      <c r="F27" s="121">
        <v>0</v>
      </c>
      <c r="G27" s="121"/>
      <c r="H27" s="121">
        <f t="shared" si="2"/>
        <v>5.16</v>
      </c>
      <c r="I27" s="121">
        <f t="shared" si="0"/>
        <v>1675.7200000000003</v>
      </c>
      <c r="J27" s="122">
        <f t="shared" si="1"/>
        <v>18037.450080000002</v>
      </c>
    </row>
    <row r="28" spans="1:10" ht="15.75" customHeight="1" x14ac:dyDescent="0.3">
      <c r="A28" s="120">
        <v>22</v>
      </c>
      <c r="B28" s="120" t="s">
        <v>200</v>
      </c>
      <c r="C28" s="121">
        <f>448.33+550.66</f>
        <v>998.99</v>
      </c>
      <c r="D28" s="121">
        <f>218.03+218.66</f>
        <v>436.69</v>
      </c>
      <c r="E28" s="121">
        <f>109.45+143.49</f>
        <v>252.94</v>
      </c>
      <c r="F28" s="121">
        <v>0</v>
      </c>
      <c r="G28" s="121"/>
      <c r="H28" s="121">
        <f t="shared" si="2"/>
        <v>5.16</v>
      </c>
      <c r="I28" s="121">
        <f t="shared" si="0"/>
        <v>1693.7800000000002</v>
      </c>
      <c r="J28" s="122">
        <f t="shared" si="1"/>
        <v>18231.84792</v>
      </c>
    </row>
    <row r="29" spans="1:10" ht="15.75" customHeight="1" x14ac:dyDescent="0.3">
      <c r="A29" s="120">
        <v>23</v>
      </c>
      <c r="B29" s="120" t="s">
        <v>201</v>
      </c>
      <c r="C29" s="121">
        <f>546.6+687.24</f>
        <v>1233.8400000000001</v>
      </c>
      <c r="D29" s="121">
        <f>218.03+218.69</f>
        <v>436.72</v>
      </c>
      <c r="E29" s="121">
        <v>0</v>
      </c>
      <c r="F29" s="121">
        <v>0</v>
      </c>
      <c r="G29" s="121"/>
      <c r="H29" s="121">
        <f t="shared" si="2"/>
        <v>5.16</v>
      </c>
      <c r="I29" s="121">
        <f t="shared" si="0"/>
        <v>1675.7200000000003</v>
      </c>
      <c r="J29" s="122">
        <f t="shared" si="1"/>
        <v>18037.450080000002</v>
      </c>
    </row>
    <row r="30" spans="1:10" ht="15.75" customHeight="1" x14ac:dyDescent="0.3">
      <c r="A30" s="120">
        <v>24</v>
      </c>
      <c r="B30" s="120" t="s">
        <v>202</v>
      </c>
      <c r="C30" s="121">
        <f>555.43+687.24</f>
        <v>1242.67</v>
      </c>
      <c r="D30" s="121">
        <f t="shared" ref="D30:D32" si="5">218.03+218.69</f>
        <v>436.72</v>
      </c>
      <c r="E30" s="121">
        <v>0</v>
      </c>
      <c r="F30" s="121">
        <v>0</v>
      </c>
      <c r="G30" s="121"/>
      <c r="H30" s="121">
        <f t="shared" si="2"/>
        <v>5.16</v>
      </c>
      <c r="I30" s="121">
        <f t="shared" si="0"/>
        <v>1684.5500000000002</v>
      </c>
      <c r="J30" s="122">
        <f t="shared" si="1"/>
        <v>18132.496200000001</v>
      </c>
    </row>
    <row r="31" spans="1:10" ht="15.75" customHeight="1" x14ac:dyDescent="0.3">
      <c r="A31" s="120">
        <v>25</v>
      </c>
      <c r="B31" s="120" t="s">
        <v>203</v>
      </c>
      <c r="C31" s="121">
        <f>555.43+687.24</f>
        <v>1242.67</v>
      </c>
      <c r="D31" s="121">
        <f t="shared" si="5"/>
        <v>436.72</v>
      </c>
      <c r="E31" s="121">
        <v>0</v>
      </c>
      <c r="F31" s="121">
        <v>0</v>
      </c>
      <c r="G31" s="121"/>
      <c r="H31" s="121">
        <f t="shared" si="2"/>
        <v>5.16</v>
      </c>
      <c r="I31" s="121">
        <f t="shared" si="0"/>
        <v>1684.5500000000002</v>
      </c>
      <c r="J31" s="122">
        <f t="shared" si="1"/>
        <v>18132.496200000001</v>
      </c>
    </row>
    <row r="32" spans="1:10" ht="15.75" customHeight="1" x14ac:dyDescent="0.3">
      <c r="A32" s="120">
        <v>26</v>
      </c>
      <c r="B32" s="120" t="s">
        <v>204</v>
      </c>
      <c r="C32" s="121">
        <f>555.43+687.24</f>
        <v>1242.67</v>
      </c>
      <c r="D32" s="121">
        <f t="shared" si="5"/>
        <v>436.72</v>
      </c>
      <c r="E32" s="121">
        <v>0</v>
      </c>
      <c r="F32" s="121">
        <v>0</v>
      </c>
      <c r="G32" s="121"/>
      <c r="H32" s="121">
        <f t="shared" si="2"/>
        <v>5.16</v>
      </c>
      <c r="I32" s="121">
        <f t="shared" si="0"/>
        <v>1684.5500000000002</v>
      </c>
      <c r="J32" s="122">
        <f t="shared" si="1"/>
        <v>18132.496200000001</v>
      </c>
    </row>
    <row r="33" spans="1:10" ht="15.75" customHeight="1" x14ac:dyDescent="0.3">
      <c r="A33" s="120">
        <v>27</v>
      </c>
      <c r="B33" s="120" t="s">
        <v>205</v>
      </c>
      <c r="C33" s="121">
        <f>101.2+216.79</f>
        <v>317.99</v>
      </c>
      <c r="D33" s="121">
        <f>218.32+222.41</f>
        <v>440.73</v>
      </c>
      <c r="E33" s="121">
        <v>0</v>
      </c>
      <c r="F33" s="121">
        <v>20.07</v>
      </c>
      <c r="G33" s="121"/>
      <c r="H33" s="121">
        <f t="shared" si="2"/>
        <v>5.16</v>
      </c>
      <c r="I33" s="121">
        <f t="shared" si="0"/>
        <v>783.95</v>
      </c>
      <c r="J33" s="122">
        <f t="shared" si="1"/>
        <v>8438.4377999999997</v>
      </c>
    </row>
    <row r="34" spans="1:10" ht="15.75" customHeight="1" x14ac:dyDescent="0.3">
      <c r="A34" s="120">
        <v>28</v>
      </c>
      <c r="B34" s="120" t="s">
        <v>185</v>
      </c>
      <c r="C34" s="121">
        <v>0</v>
      </c>
      <c r="D34" s="121">
        <f>218.32+222.41</f>
        <v>440.73</v>
      </c>
      <c r="E34" s="121">
        <v>0</v>
      </c>
      <c r="F34" s="121">
        <v>0</v>
      </c>
      <c r="G34" s="121"/>
      <c r="H34" s="121">
        <f t="shared" si="2"/>
        <v>5.16</v>
      </c>
      <c r="I34" s="121">
        <f t="shared" si="0"/>
        <v>445.89000000000004</v>
      </c>
      <c r="J34" s="122">
        <f t="shared" si="1"/>
        <v>4799.5599600000005</v>
      </c>
    </row>
    <row r="35" spans="1:10" ht="15.75" customHeight="1" x14ac:dyDescent="0.3">
      <c r="A35" s="262" t="s">
        <v>32</v>
      </c>
      <c r="B35" s="263"/>
      <c r="C35" s="128">
        <f>SUM(C7:C34)</f>
        <v>28516.59</v>
      </c>
      <c r="D35" s="128">
        <f t="shared" ref="D35:H35" si="6">SUM(D7:D34)</f>
        <v>11131.269999999999</v>
      </c>
      <c r="E35" s="128">
        <f t="shared" si="6"/>
        <v>887.22</v>
      </c>
      <c r="F35" s="128">
        <f t="shared" si="6"/>
        <v>1004.6</v>
      </c>
      <c r="G35" s="128">
        <f t="shared" si="6"/>
        <v>12593.449999999999</v>
      </c>
      <c r="H35" s="128">
        <f t="shared" si="6"/>
        <v>1257.4300000000017</v>
      </c>
      <c r="I35" s="128">
        <f t="shared" ref="I35" si="7">SUM(I7:I34)</f>
        <v>55390.560000000019</v>
      </c>
      <c r="J35" s="128">
        <f>SUM(J7:J34)</f>
        <v>596223.98783999996</v>
      </c>
    </row>
    <row r="36" spans="1:10" ht="15.75" customHeight="1" x14ac:dyDescent="0.2">
      <c r="J36" s="67">
        <f>ROUND(J35*2850,0)</f>
        <v>1699238365</v>
      </c>
    </row>
    <row r="37" spans="1:10" ht="15.75" customHeight="1" x14ac:dyDescent="0.2">
      <c r="J37" s="67"/>
    </row>
    <row r="38" spans="1:10" ht="15.75" customHeight="1" x14ac:dyDescent="0.2">
      <c r="B38" s="64" t="s">
        <v>181</v>
      </c>
      <c r="I38" s="73">
        <v>74747</v>
      </c>
      <c r="J38" s="73">
        <f>I38*2000</f>
        <v>149494000</v>
      </c>
    </row>
    <row r="39" spans="1:10" ht="15.75" customHeight="1" x14ac:dyDescent="0.2"/>
    <row r="40" spans="1:10" ht="15.75" customHeight="1" x14ac:dyDescent="0.2"/>
    <row r="41" spans="1:10" ht="15.75" customHeight="1" x14ac:dyDescent="0.2"/>
    <row r="42" spans="1:10" ht="15.75" customHeight="1" x14ac:dyDescent="0.2"/>
    <row r="43" spans="1:10" ht="15.75" customHeight="1" x14ac:dyDescent="0.2"/>
    <row r="44" spans="1:10" ht="15.75" customHeight="1" x14ac:dyDescent="0.2"/>
    <row r="45" spans="1:10" ht="15.75" customHeight="1" x14ac:dyDescent="0.2"/>
    <row r="46" spans="1:10" ht="15.75" customHeight="1" x14ac:dyDescent="0.2"/>
    <row r="47" spans="1:10" ht="15.75" customHeight="1" x14ac:dyDescent="0.2"/>
    <row r="48" spans="1:10" ht="15.75" customHeight="1" x14ac:dyDescent="0.2"/>
    <row r="49" spans="11:11" ht="15.75" customHeight="1" x14ac:dyDescent="0.2"/>
    <row r="50" spans="11:11" ht="15.75" customHeight="1" x14ac:dyDescent="0.2"/>
    <row r="51" spans="11:11" ht="15.75" customHeight="1" x14ac:dyDescent="0.2"/>
    <row r="52" spans="11:11" ht="15.75" customHeight="1" x14ac:dyDescent="0.2">
      <c r="K52" s="64">
        <v>0.04</v>
      </c>
    </row>
    <row r="53" spans="11:11" ht="15.75" customHeight="1" x14ac:dyDescent="0.2">
      <c r="K53" s="64">
        <f>K52*2850</f>
        <v>114</v>
      </c>
    </row>
    <row r="54" spans="11:11" ht="15.75" customHeight="1" x14ac:dyDescent="0.2"/>
    <row r="55" spans="11:11" ht="15.75" customHeight="1" x14ac:dyDescent="0.2"/>
    <row r="56" spans="11:11" ht="15.75" customHeight="1" x14ac:dyDescent="0.2"/>
    <row r="57" spans="11:11" ht="15.75" customHeight="1" x14ac:dyDescent="0.2"/>
    <row r="58" spans="11:11" ht="15.75" customHeight="1" x14ac:dyDescent="0.2"/>
    <row r="59" spans="11:11" ht="15.75" customHeight="1" x14ac:dyDescent="0.2"/>
    <row r="60" spans="11:11" ht="15.75" customHeight="1" x14ac:dyDescent="0.2"/>
    <row r="61" spans="11:11" ht="15.75" customHeight="1" x14ac:dyDescent="0.2"/>
    <row r="62" spans="11:11" ht="15.75" customHeight="1" x14ac:dyDescent="0.2"/>
    <row r="63" spans="11:11" ht="15.75" customHeight="1" x14ac:dyDescent="0.2"/>
    <row r="64" spans="11:11" ht="15.75" customHeight="1" x14ac:dyDescent="0.2"/>
    <row r="65" ht="15.75" customHeight="1" x14ac:dyDescent="0.2"/>
    <row r="66" ht="15.75" customHeight="1" x14ac:dyDescent="0.2"/>
    <row r="67" ht="15.75" customHeight="1" x14ac:dyDescent="0.2"/>
    <row r="68" ht="15.75" customHeight="1" x14ac:dyDescent="0.2"/>
    <row r="69" ht="15.75" customHeight="1" x14ac:dyDescent="0.2"/>
    <row r="70" ht="15.75" customHeight="1" x14ac:dyDescent="0.2"/>
    <row r="71" ht="15.75" customHeight="1" x14ac:dyDescent="0.2"/>
    <row r="72" ht="15.75" customHeight="1" x14ac:dyDescent="0.2"/>
    <row r="73" ht="15.75" customHeight="1" x14ac:dyDescent="0.2"/>
    <row r="74" ht="15.75" customHeight="1" x14ac:dyDescent="0.2"/>
    <row r="75" ht="15.75" customHeight="1" x14ac:dyDescent="0.2"/>
    <row r="76" ht="15.75" customHeight="1" x14ac:dyDescent="0.2"/>
    <row r="77" ht="15.75" customHeight="1" x14ac:dyDescent="0.2"/>
    <row r="78" ht="15.75" customHeight="1" x14ac:dyDescent="0.2"/>
    <row r="79" ht="15.75" customHeight="1" x14ac:dyDescent="0.2"/>
    <row r="80" ht="15.75" customHeight="1" x14ac:dyDescent="0.2"/>
    <row r="81" ht="15.75" customHeight="1" x14ac:dyDescent="0.2"/>
    <row r="82" ht="15.75" customHeight="1" x14ac:dyDescent="0.2"/>
    <row r="83" ht="15.75" customHeight="1" x14ac:dyDescent="0.2"/>
    <row r="84" ht="15.75" customHeight="1" x14ac:dyDescent="0.2"/>
    <row r="85" ht="15.75" customHeight="1" x14ac:dyDescent="0.2"/>
    <row r="86" ht="15.75" customHeight="1" x14ac:dyDescent="0.2"/>
    <row r="87" ht="15.75" customHeight="1" x14ac:dyDescent="0.2"/>
    <row r="88" ht="15.75" customHeight="1" x14ac:dyDescent="0.2"/>
    <row r="89" ht="15.75" customHeight="1" x14ac:dyDescent="0.2"/>
    <row r="90" ht="15.75" customHeight="1" x14ac:dyDescent="0.2"/>
    <row r="91" ht="15.75" customHeight="1" x14ac:dyDescent="0.2"/>
    <row r="92" ht="15.75" customHeight="1" x14ac:dyDescent="0.2"/>
    <row r="93" ht="15.75" customHeight="1" x14ac:dyDescent="0.2"/>
    <row r="94" ht="15.75" customHeight="1" x14ac:dyDescent="0.2"/>
    <row r="95" ht="15.75" customHeight="1" x14ac:dyDescent="0.2"/>
    <row r="96" ht="15.75" customHeight="1" x14ac:dyDescent="0.2"/>
    <row r="97" ht="15.75" customHeight="1" x14ac:dyDescent="0.2"/>
    <row r="98" ht="15.75" customHeight="1" x14ac:dyDescent="0.2"/>
    <row r="99" ht="15.75" customHeight="1" x14ac:dyDescent="0.2"/>
    <row r="100" ht="15.75" customHeight="1" x14ac:dyDescent="0.2"/>
    <row r="101" ht="15.75" customHeight="1" x14ac:dyDescent="0.2"/>
    <row r="102" ht="15.75" customHeight="1" x14ac:dyDescent="0.2"/>
    <row r="103" ht="15.75" customHeight="1" x14ac:dyDescent="0.2"/>
    <row r="104" ht="15.75" customHeight="1" x14ac:dyDescent="0.2"/>
    <row r="105" ht="15.75" customHeight="1" x14ac:dyDescent="0.2"/>
    <row r="106" ht="15.75" customHeight="1" x14ac:dyDescent="0.2"/>
    <row r="107" ht="15.75" customHeight="1" x14ac:dyDescent="0.2"/>
    <row r="108" ht="15.75" customHeight="1" x14ac:dyDescent="0.2"/>
    <row r="109" ht="15.75" customHeight="1" x14ac:dyDescent="0.2"/>
    <row r="110" ht="15.75" customHeight="1" x14ac:dyDescent="0.2"/>
    <row r="111" ht="15.75" customHeight="1" x14ac:dyDescent="0.2"/>
    <row r="112" ht="15.75" customHeight="1" x14ac:dyDescent="0.2"/>
    <row r="113" ht="15.75" customHeight="1" x14ac:dyDescent="0.2"/>
    <row r="114" ht="15.75" customHeight="1" x14ac:dyDescent="0.2"/>
    <row r="115" ht="15.75" customHeight="1" x14ac:dyDescent="0.2"/>
    <row r="116" ht="15.75" customHeight="1" x14ac:dyDescent="0.2"/>
    <row r="117" ht="15.75" customHeight="1" x14ac:dyDescent="0.2"/>
    <row r="118" ht="15.75" customHeight="1" x14ac:dyDescent="0.2"/>
    <row r="119" ht="15.75" customHeight="1" x14ac:dyDescent="0.2"/>
    <row r="120" ht="15.75" customHeight="1" x14ac:dyDescent="0.2"/>
    <row r="121" ht="15.75" customHeight="1" x14ac:dyDescent="0.2"/>
    <row r="122" ht="15.75" customHeight="1" x14ac:dyDescent="0.2"/>
    <row r="123" ht="15.75" customHeight="1" x14ac:dyDescent="0.2"/>
    <row r="124" ht="15.75" customHeight="1" x14ac:dyDescent="0.2"/>
    <row r="125" ht="15.75" customHeight="1" x14ac:dyDescent="0.2"/>
    <row r="126" ht="15.75" customHeight="1" x14ac:dyDescent="0.2"/>
    <row r="127" ht="15.75" customHeight="1" x14ac:dyDescent="0.2"/>
    <row r="128" ht="15.75" customHeight="1" x14ac:dyDescent="0.2"/>
    <row r="129" ht="15.75" customHeight="1" x14ac:dyDescent="0.2"/>
    <row r="130" ht="15.75" customHeight="1" x14ac:dyDescent="0.2"/>
    <row r="131" ht="15.75" customHeight="1" x14ac:dyDescent="0.2"/>
    <row r="132" ht="15.75" customHeight="1" x14ac:dyDescent="0.2"/>
    <row r="133" ht="15.75" customHeight="1" x14ac:dyDescent="0.2"/>
    <row r="134" ht="15.75" customHeight="1" x14ac:dyDescent="0.2"/>
    <row r="135" ht="15.75" customHeight="1" x14ac:dyDescent="0.2"/>
    <row r="136" ht="15.75" customHeight="1" x14ac:dyDescent="0.2"/>
    <row r="137" ht="15.75" customHeight="1" x14ac:dyDescent="0.2"/>
    <row r="138" ht="15.75" customHeight="1" x14ac:dyDescent="0.2"/>
    <row r="139" ht="15.75" customHeight="1" x14ac:dyDescent="0.2"/>
    <row r="140" ht="15.75" customHeight="1" x14ac:dyDescent="0.2"/>
    <row r="141" ht="15.75" customHeight="1" x14ac:dyDescent="0.2"/>
    <row r="142" ht="15.75" customHeight="1" x14ac:dyDescent="0.2"/>
    <row r="143" ht="15.75" customHeight="1" x14ac:dyDescent="0.2"/>
    <row r="144" ht="15.75" customHeight="1" x14ac:dyDescent="0.2"/>
    <row r="145" ht="15.75" customHeight="1" x14ac:dyDescent="0.2"/>
    <row r="146" ht="15.75" customHeight="1" x14ac:dyDescent="0.2"/>
    <row r="147" ht="15.75" customHeight="1" x14ac:dyDescent="0.2"/>
    <row r="148" ht="15.75" customHeight="1" x14ac:dyDescent="0.2"/>
    <row r="149" ht="15.75" customHeight="1" x14ac:dyDescent="0.2"/>
    <row r="150" ht="15.75" customHeight="1" x14ac:dyDescent="0.2"/>
    <row r="151" ht="15.75" customHeight="1" x14ac:dyDescent="0.2"/>
    <row r="152" ht="15.75" customHeight="1" x14ac:dyDescent="0.2"/>
    <row r="153" ht="15.75" customHeight="1" x14ac:dyDescent="0.2"/>
    <row r="154" ht="15.75" customHeight="1" x14ac:dyDescent="0.2"/>
    <row r="155" ht="15.75" customHeight="1" x14ac:dyDescent="0.2"/>
    <row r="156" ht="15.75" customHeight="1" x14ac:dyDescent="0.2"/>
    <row r="157" ht="15.75" customHeight="1" x14ac:dyDescent="0.2"/>
    <row r="158" ht="15.75" customHeight="1" x14ac:dyDescent="0.2"/>
    <row r="159" ht="15.75" customHeight="1" x14ac:dyDescent="0.2"/>
    <row r="160" ht="15.75" customHeight="1" x14ac:dyDescent="0.2"/>
    <row r="161" ht="15.75" customHeight="1" x14ac:dyDescent="0.2"/>
    <row r="162" ht="15.75" customHeight="1" x14ac:dyDescent="0.2"/>
    <row r="163" ht="15.75" customHeight="1" x14ac:dyDescent="0.2"/>
    <row r="164" ht="15.75" customHeight="1" x14ac:dyDescent="0.2"/>
    <row r="165" ht="15.75" customHeight="1" x14ac:dyDescent="0.2"/>
    <row r="166" ht="15.75" customHeight="1" x14ac:dyDescent="0.2"/>
    <row r="167" ht="15.75" customHeight="1" x14ac:dyDescent="0.2"/>
    <row r="168" ht="15.75" customHeight="1" x14ac:dyDescent="0.2"/>
    <row r="169" ht="15.75" customHeight="1" x14ac:dyDescent="0.2"/>
    <row r="170" ht="15.75" customHeight="1" x14ac:dyDescent="0.2"/>
    <row r="171" ht="15.75" customHeight="1" x14ac:dyDescent="0.2"/>
    <row r="172" ht="15.75" customHeight="1" x14ac:dyDescent="0.2"/>
    <row r="173" ht="15.75" customHeight="1" x14ac:dyDescent="0.2"/>
    <row r="174" ht="15.75" customHeight="1" x14ac:dyDescent="0.2"/>
    <row r="175" ht="15.75" customHeight="1" x14ac:dyDescent="0.2"/>
    <row r="176" ht="15.75" customHeight="1" x14ac:dyDescent="0.2"/>
    <row r="177" ht="15.75" customHeight="1" x14ac:dyDescent="0.2"/>
    <row r="178" ht="15.75" customHeight="1" x14ac:dyDescent="0.2"/>
    <row r="179" ht="15.75" customHeight="1" x14ac:dyDescent="0.2"/>
    <row r="180" ht="15.75" customHeight="1" x14ac:dyDescent="0.2"/>
    <row r="181" ht="15.75" customHeight="1" x14ac:dyDescent="0.2"/>
    <row r="182" ht="15.75" customHeight="1" x14ac:dyDescent="0.2"/>
    <row r="183" ht="15.75" customHeight="1" x14ac:dyDescent="0.2"/>
    <row r="184" ht="15.75" customHeight="1" x14ac:dyDescent="0.2"/>
    <row r="185" ht="15.75" customHeight="1" x14ac:dyDescent="0.2"/>
    <row r="186" ht="15.75" customHeight="1" x14ac:dyDescent="0.2"/>
    <row r="187" ht="15.75" customHeight="1" x14ac:dyDescent="0.2"/>
    <row r="188" ht="15.75" customHeight="1" x14ac:dyDescent="0.2"/>
    <row r="189" ht="15.75" customHeight="1" x14ac:dyDescent="0.2"/>
    <row r="190" ht="15.75" customHeight="1" x14ac:dyDescent="0.2"/>
    <row r="191" ht="15.75" customHeight="1" x14ac:dyDescent="0.2"/>
    <row r="192" ht="15.75" customHeight="1" x14ac:dyDescent="0.2"/>
    <row r="193" ht="15.75" customHeight="1" x14ac:dyDescent="0.2"/>
    <row r="194" ht="15.75" customHeight="1" x14ac:dyDescent="0.2"/>
    <row r="195" ht="15.75" customHeight="1" x14ac:dyDescent="0.2"/>
    <row r="196" ht="15.75" customHeight="1" x14ac:dyDescent="0.2"/>
    <row r="197" ht="15.75" customHeight="1" x14ac:dyDescent="0.2"/>
    <row r="198" ht="15.75" customHeight="1" x14ac:dyDescent="0.2"/>
    <row r="199" ht="15.75" customHeight="1" x14ac:dyDescent="0.2"/>
    <row r="200" ht="15.75" customHeight="1" x14ac:dyDescent="0.2"/>
    <row r="201" ht="15.75" customHeight="1" x14ac:dyDescent="0.2"/>
    <row r="202" ht="15.75" customHeight="1" x14ac:dyDescent="0.2"/>
    <row r="203" ht="15.75" customHeight="1" x14ac:dyDescent="0.2"/>
    <row r="204" ht="15.75" customHeight="1" x14ac:dyDescent="0.2"/>
    <row r="205" ht="15.75" customHeight="1" x14ac:dyDescent="0.2"/>
    <row r="206" ht="15.75" customHeight="1" x14ac:dyDescent="0.2"/>
    <row r="207" ht="15.75" customHeight="1" x14ac:dyDescent="0.2"/>
    <row r="208" ht="15.75" customHeight="1" x14ac:dyDescent="0.2"/>
    <row r="209" ht="15.75" customHeight="1" x14ac:dyDescent="0.2"/>
    <row r="210" ht="15.75" customHeight="1" x14ac:dyDescent="0.2"/>
    <row r="211" ht="15.75" customHeight="1" x14ac:dyDescent="0.2"/>
    <row r="212" ht="15.75" customHeight="1" x14ac:dyDescent="0.2"/>
    <row r="213" ht="15.75" customHeight="1" x14ac:dyDescent="0.2"/>
    <row r="214" ht="15.75" customHeight="1" x14ac:dyDescent="0.2"/>
    <row r="215" ht="15.75" customHeight="1" x14ac:dyDescent="0.2"/>
    <row r="216" ht="15.75" customHeight="1" x14ac:dyDescent="0.2"/>
    <row r="217" ht="15.75" customHeight="1" x14ac:dyDescent="0.2"/>
    <row r="218" ht="15.75" customHeight="1" x14ac:dyDescent="0.2"/>
    <row r="219" ht="15.75" customHeight="1" x14ac:dyDescent="0.2"/>
    <row r="220" ht="15.75" customHeight="1" x14ac:dyDescent="0.2"/>
    <row r="221" ht="15.75" customHeight="1" x14ac:dyDescent="0.2"/>
    <row r="222" ht="15.75" customHeight="1" x14ac:dyDescent="0.2"/>
    <row r="223" ht="15.75" customHeight="1" x14ac:dyDescent="0.2"/>
    <row r="224" ht="15.75" customHeight="1" x14ac:dyDescent="0.2"/>
    <row r="225" ht="15.75" customHeight="1" x14ac:dyDescent="0.2"/>
    <row r="226" ht="15.75" customHeight="1" x14ac:dyDescent="0.2"/>
    <row r="227" ht="15.75" customHeight="1" x14ac:dyDescent="0.2"/>
    <row r="228" ht="15.75" customHeight="1" x14ac:dyDescent="0.2"/>
    <row r="229" ht="15.75" customHeight="1" x14ac:dyDescent="0.2"/>
    <row r="230" ht="15.75" customHeight="1" x14ac:dyDescent="0.2"/>
    <row r="231" ht="15.75" customHeight="1" x14ac:dyDescent="0.2"/>
    <row r="232" ht="15.75" customHeight="1" x14ac:dyDescent="0.2"/>
    <row r="233" ht="15.75" customHeight="1" x14ac:dyDescent="0.2"/>
    <row r="234" ht="15.75" customHeight="1" x14ac:dyDescent="0.2"/>
    <row r="235" ht="15.75" customHeight="1" x14ac:dyDescent="0.2"/>
    <row r="236" ht="15.75" customHeight="1" x14ac:dyDescent="0.2"/>
    <row r="237" ht="15.75" customHeight="1" x14ac:dyDescent="0.2"/>
    <row r="238" ht="15.75" customHeight="1" x14ac:dyDescent="0.2"/>
    <row r="239" ht="15.75" customHeight="1" x14ac:dyDescent="0.2"/>
    <row r="240" ht="15.75" customHeight="1" x14ac:dyDescent="0.2"/>
    <row r="241" ht="15.75" customHeight="1" x14ac:dyDescent="0.2"/>
    <row r="242" ht="15.75" customHeight="1" x14ac:dyDescent="0.2"/>
    <row r="243" ht="15.75" customHeight="1" x14ac:dyDescent="0.2"/>
    <row r="244" ht="15.75" customHeight="1" x14ac:dyDescent="0.2"/>
    <row r="245" ht="15.75" customHeight="1" x14ac:dyDescent="0.2"/>
    <row r="246" ht="15.75" customHeight="1" x14ac:dyDescent="0.2"/>
    <row r="247" ht="15.75" customHeight="1" x14ac:dyDescent="0.2"/>
    <row r="248" ht="15.75" customHeight="1" x14ac:dyDescent="0.2"/>
    <row r="249" ht="15.75" customHeight="1" x14ac:dyDescent="0.2"/>
    <row r="250" ht="15.75" customHeight="1" x14ac:dyDescent="0.2"/>
    <row r="251" ht="15.75" customHeight="1" x14ac:dyDescent="0.2"/>
    <row r="252" ht="15.75" customHeight="1" x14ac:dyDescent="0.2"/>
    <row r="253" ht="15.75" customHeight="1" x14ac:dyDescent="0.2"/>
    <row r="254" ht="15.75" customHeight="1" x14ac:dyDescent="0.2"/>
    <row r="255" ht="15.75" customHeight="1" x14ac:dyDescent="0.2"/>
    <row r="256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  <row r="993" ht="15.75" customHeight="1" x14ac:dyDescent="0.2"/>
    <row r="994" ht="15.75" customHeight="1" x14ac:dyDescent="0.2"/>
    <row r="995" ht="15.75" customHeight="1" x14ac:dyDescent="0.2"/>
  </sheetData>
  <mergeCells count="1">
    <mergeCell ref="A35:B35"/>
  </mergeCells>
  <phoneticPr fontId="30" type="noConversion"/>
  <pageMargins left="0.7" right="0.7" top="0.75" bottom="0.75" header="0" footer="0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1399DF-54E9-4933-9188-0D9BD969AB69}">
  <sheetPr>
    <tabColor rgb="FF92D050"/>
  </sheetPr>
  <dimension ref="B1:U751"/>
  <sheetViews>
    <sheetView showGridLines="0" topLeftCell="C1" workbookViewId="0">
      <pane ySplit="1" topLeftCell="A354" activePane="bottomLeft" state="frozen"/>
      <selection activeCell="D8" sqref="D8"/>
      <selection pane="bottomLeft" activeCell="C1" sqref="C1:Q467"/>
    </sheetView>
  </sheetViews>
  <sheetFormatPr defaultColWidth="7.75" defaultRowHeight="16.5" x14ac:dyDescent="0.3"/>
  <cols>
    <col min="1" max="1" width="4.5" style="158" customWidth="1"/>
    <col min="2" max="2" width="5.75" style="158" customWidth="1"/>
    <col min="3" max="3" width="6.5" style="158" customWidth="1"/>
    <col min="4" max="4" width="11.875" style="184" bestFit="1" customWidth="1"/>
    <col min="5" max="5" width="11.5" style="158" customWidth="1"/>
    <col min="6" max="6" width="9.75" style="158" bestFit="1" customWidth="1"/>
    <col min="7" max="7" width="14.25" style="185" hidden="1" customWidth="1"/>
    <col min="8" max="8" width="13.125" style="185" hidden="1" customWidth="1"/>
    <col min="9" max="9" width="8.125" style="185" hidden="1" customWidth="1"/>
    <col min="10" max="10" width="12.75" style="158" customWidth="1"/>
    <col min="11" max="11" width="10.75" style="158" customWidth="1"/>
    <col min="12" max="12" width="11.125" style="158" customWidth="1"/>
    <col min="13" max="13" width="15.25" style="158" customWidth="1"/>
    <col min="14" max="14" width="10.125" style="158" customWidth="1"/>
    <col min="15" max="15" width="15" style="158" customWidth="1"/>
    <col min="16" max="16" width="17.25" style="158" customWidth="1"/>
    <col min="17" max="17" width="18" style="158" customWidth="1"/>
    <col min="18" max="18" width="17.875" style="158" customWidth="1"/>
    <col min="19" max="19" width="16" style="158" customWidth="1"/>
    <col min="20" max="21" width="8.875" style="158" customWidth="1"/>
    <col min="22" max="16384" width="7.75" style="158"/>
  </cols>
  <sheetData>
    <row r="1" spans="2:21" s="147" customFormat="1" ht="49.5" x14ac:dyDescent="0.2">
      <c r="B1" s="145" t="s">
        <v>33</v>
      </c>
      <c r="C1" s="145" t="s">
        <v>65</v>
      </c>
      <c r="D1" s="145" t="s">
        <v>62</v>
      </c>
      <c r="E1" s="145" t="s">
        <v>247</v>
      </c>
      <c r="F1" s="145" t="s">
        <v>233</v>
      </c>
      <c r="G1" s="145" t="s">
        <v>158</v>
      </c>
      <c r="H1" s="145" t="s">
        <v>159</v>
      </c>
      <c r="I1" s="145" t="s">
        <v>267</v>
      </c>
      <c r="J1" s="145" t="s">
        <v>246</v>
      </c>
      <c r="K1" s="145" t="s">
        <v>160</v>
      </c>
      <c r="L1" s="145" t="s">
        <v>268</v>
      </c>
      <c r="M1" s="145" t="s">
        <v>234</v>
      </c>
      <c r="N1" s="145" t="s">
        <v>257</v>
      </c>
      <c r="O1" s="145" t="s">
        <v>258</v>
      </c>
      <c r="P1" s="145" t="s">
        <v>259</v>
      </c>
      <c r="Q1" s="145" t="s">
        <v>161</v>
      </c>
      <c r="R1" s="145" t="s">
        <v>162</v>
      </c>
      <c r="S1" s="145" t="s">
        <v>163</v>
      </c>
      <c r="T1" s="146" t="s">
        <v>164</v>
      </c>
      <c r="U1" s="145" t="s">
        <v>260</v>
      </c>
    </row>
    <row r="2" spans="2:21" hidden="1" x14ac:dyDescent="0.3">
      <c r="B2" s="148">
        <v>1</v>
      </c>
      <c r="C2" s="148" t="s">
        <v>156</v>
      </c>
      <c r="D2" s="149" t="s">
        <v>31</v>
      </c>
      <c r="E2" s="150">
        <v>1</v>
      </c>
      <c r="F2" s="150" t="s">
        <v>156</v>
      </c>
      <c r="G2" s="150" t="s">
        <v>165</v>
      </c>
      <c r="H2" s="150" t="s">
        <v>166</v>
      </c>
      <c r="I2" s="150" t="str">
        <f>Table1[[#This Row],[Wing]]&amp;-Table1[[#This Row],[Shop No / Office No. / Flat No.]]</f>
        <v>Shop-1</v>
      </c>
      <c r="J2" s="151">
        <v>16.93</v>
      </c>
      <c r="K2" s="151">
        <f>IFERROR(J2*10.764,0)</f>
        <v>182.23451999999997</v>
      </c>
      <c r="L2" s="152">
        <f>Table1[[#This Row],[RERA Carpet Area (Sq. Ft.)]]*1.1</f>
        <v>200.45797199999998</v>
      </c>
      <c r="M2" s="153" t="s">
        <v>168</v>
      </c>
      <c r="N2" s="154" t="s">
        <v>168</v>
      </c>
      <c r="O2" s="154">
        <v>4485000</v>
      </c>
      <c r="P2" s="154">
        <v>4050000</v>
      </c>
      <c r="Q2" s="154">
        <f>Table1[[#This Row],[Agreement Value as per  Excel]]-Table1[[#This Row],[Amt Received as per Excel]]</f>
        <v>435000</v>
      </c>
      <c r="R2" s="155">
        <f>IFERROR(O2/K2,0)</f>
        <v>24611.143925969682</v>
      </c>
      <c r="S2" s="156"/>
      <c r="T2" s="156"/>
      <c r="U2" s="157"/>
    </row>
    <row r="3" spans="2:21" hidden="1" x14ac:dyDescent="0.3">
      <c r="B3" s="148">
        <v>2</v>
      </c>
      <c r="C3" s="148" t="s">
        <v>156</v>
      </c>
      <c r="D3" s="149" t="s">
        <v>31</v>
      </c>
      <c r="E3" s="150">
        <v>2</v>
      </c>
      <c r="F3" s="150" t="s">
        <v>156</v>
      </c>
      <c r="G3" s="150" t="s">
        <v>165</v>
      </c>
      <c r="H3" s="150" t="s">
        <v>166</v>
      </c>
      <c r="I3" s="150" t="str">
        <f>Table1[[#This Row],[Wing]]&amp;-Table1[[#This Row],[Shop No / Office No. / Flat No.]]</f>
        <v>Shop-2</v>
      </c>
      <c r="J3" s="159">
        <v>17.64</v>
      </c>
      <c r="K3" s="151">
        <f t="shared" ref="K3:K93" si="0">IFERROR(J3*10.764,0)</f>
        <v>189.87696</v>
      </c>
      <c r="L3" s="152">
        <f>Table1[[#This Row],[RERA Carpet Area (Sq. Ft.)]]*1.1</f>
        <v>208.86465600000002</v>
      </c>
      <c r="M3" s="153" t="s">
        <v>168</v>
      </c>
      <c r="N3" s="154" t="s">
        <v>168</v>
      </c>
      <c r="O3" s="154">
        <v>4894500</v>
      </c>
      <c r="P3" s="154">
        <v>1400000</v>
      </c>
      <c r="Q3" s="154">
        <f>Table1[[#This Row],[Agreement Value as per  Excel]]-Table1[[#This Row],[Amt Received as per Excel]]</f>
        <v>3494500</v>
      </c>
      <c r="R3" s="155">
        <f t="shared" ref="R3:R66" si="1">IFERROR(O3/K3,0)</f>
        <v>25777.219100200466</v>
      </c>
      <c r="S3" s="156"/>
      <c r="T3" s="156"/>
      <c r="U3" s="157"/>
    </row>
    <row r="4" spans="2:21" hidden="1" x14ac:dyDescent="0.3">
      <c r="B4" s="148">
        <v>3</v>
      </c>
      <c r="C4" s="148" t="s">
        <v>156</v>
      </c>
      <c r="D4" s="149" t="s">
        <v>31</v>
      </c>
      <c r="E4" s="150">
        <v>3</v>
      </c>
      <c r="F4" s="150" t="s">
        <v>156</v>
      </c>
      <c r="G4" s="150" t="s">
        <v>165</v>
      </c>
      <c r="H4" s="150" t="s">
        <v>166</v>
      </c>
      <c r="I4" s="150" t="str">
        <f>Table1[[#This Row],[Wing]]&amp;-Table1[[#This Row],[Shop No / Office No. / Flat No.]]</f>
        <v>Shop-3</v>
      </c>
      <c r="J4" s="151">
        <v>12.85</v>
      </c>
      <c r="K4" s="151">
        <f t="shared" si="0"/>
        <v>138.31739999999999</v>
      </c>
      <c r="L4" s="152">
        <f>Table1[[#This Row],[RERA Carpet Area (Sq. Ft.)]]*1.1</f>
        <v>152.14914000000002</v>
      </c>
      <c r="M4" s="153" t="s">
        <v>167</v>
      </c>
      <c r="N4" s="154" t="s">
        <v>261</v>
      </c>
      <c r="O4" s="154"/>
      <c r="P4" s="154"/>
      <c r="Q4" s="154">
        <f>Table1[[#This Row],[Agreement Value as per  Excel]]-Table1[[#This Row],[Amt Received as per Excel]]</f>
        <v>0</v>
      </c>
      <c r="R4" s="155">
        <f t="shared" si="1"/>
        <v>0</v>
      </c>
      <c r="S4" s="156"/>
      <c r="T4" s="156"/>
      <c r="U4" s="157"/>
    </row>
    <row r="5" spans="2:21" hidden="1" x14ac:dyDescent="0.3">
      <c r="B5" s="148">
        <v>4</v>
      </c>
      <c r="C5" s="148" t="s">
        <v>156</v>
      </c>
      <c r="D5" s="149" t="s">
        <v>31</v>
      </c>
      <c r="E5" s="150">
        <v>4</v>
      </c>
      <c r="F5" s="150" t="s">
        <v>156</v>
      </c>
      <c r="G5" s="150" t="s">
        <v>165</v>
      </c>
      <c r="H5" s="150" t="s">
        <v>166</v>
      </c>
      <c r="I5" s="150" t="str">
        <f>Table1[[#This Row],[Wing]]&amp;-Table1[[#This Row],[Shop No / Office No. / Flat No.]]</f>
        <v>Shop-4</v>
      </c>
      <c r="J5" s="151">
        <v>14.25</v>
      </c>
      <c r="K5" s="151">
        <f t="shared" si="0"/>
        <v>153.387</v>
      </c>
      <c r="L5" s="152">
        <f>Table1[[#This Row],[RERA Carpet Area (Sq. Ft.)]]*1.1</f>
        <v>168.72570000000002</v>
      </c>
      <c r="M5" s="153" t="s">
        <v>168</v>
      </c>
      <c r="N5" s="154" t="s">
        <v>168</v>
      </c>
      <c r="O5" s="154">
        <v>2640000</v>
      </c>
      <c r="P5" s="154">
        <v>500000</v>
      </c>
      <c r="Q5" s="154">
        <f>Table1[[#This Row],[Agreement Value as per  Excel]]-Table1[[#This Row],[Amt Received as per Excel]]</f>
        <v>2140000</v>
      </c>
      <c r="R5" s="155">
        <f t="shared" si="1"/>
        <v>17211.367325783802</v>
      </c>
      <c r="S5" s="156"/>
      <c r="T5" s="156"/>
      <c r="U5" s="157"/>
    </row>
    <row r="6" spans="2:21" hidden="1" x14ac:dyDescent="0.3">
      <c r="B6" s="148">
        <v>5</v>
      </c>
      <c r="C6" s="148" t="s">
        <v>156</v>
      </c>
      <c r="D6" s="149" t="s">
        <v>31</v>
      </c>
      <c r="E6" s="150">
        <v>5</v>
      </c>
      <c r="F6" s="150" t="s">
        <v>156</v>
      </c>
      <c r="G6" s="150" t="s">
        <v>165</v>
      </c>
      <c r="H6" s="150" t="s">
        <v>166</v>
      </c>
      <c r="I6" s="150" t="str">
        <f>Table1[[#This Row],[Wing]]&amp;-Table1[[#This Row],[Shop No / Office No. / Flat No.]]</f>
        <v>Shop-5</v>
      </c>
      <c r="J6" s="159">
        <v>14.25</v>
      </c>
      <c r="K6" s="151">
        <f t="shared" si="0"/>
        <v>153.387</v>
      </c>
      <c r="L6" s="152">
        <f>Table1[[#This Row],[RERA Carpet Area (Sq. Ft.)]]*1.1</f>
        <v>168.72570000000002</v>
      </c>
      <c r="M6" s="153" t="s">
        <v>168</v>
      </c>
      <c r="N6" s="154" t="s">
        <v>168</v>
      </c>
      <c r="O6" s="154">
        <v>2800000</v>
      </c>
      <c r="P6" s="154">
        <v>2500000</v>
      </c>
      <c r="Q6" s="154">
        <f>Table1[[#This Row],[Agreement Value as per  Excel]]-Table1[[#This Row],[Amt Received as per Excel]]</f>
        <v>300000</v>
      </c>
      <c r="R6" s="155">
        <f t="shared" si="1"/>
        <v>18254.480497043427</v>
      </c>
      <c r="S6" s="156"/>
      <c r="T6" s="156"/>
      <c r="U6" s="157"/>
    </row>
    <row r="7" spans="2:21" hidden="1" x14ac:dyDescent="0.3">
      <c r="B7" s="148">
        <v>6</v>
      </c>
      <c r="C7" s="148" t="s">
        <v>156</v>
      </c>
      <c r="D7" s="149" t="s">
        <v>31</v>
      </c>
      <c r="E7" s="150">
        <v>6</v>
      </c>
      <c r="F7" s="150" t="s">
        <v>156</v>
      </c>
      <c r="G7" s="150" t="s">
        <v>165</v>
      </c>
      <c r="H7" s="150" t="s">
        <v>166</v>
      </c>
      <c r="I7" s="150" t="str">
        <f>Table1[[#This Row],[Wing]]&amp;-Table1[[#This Row],[Shop No / Office No. / Flat No.]]</f>
        <v>Shop-6</v>
      </c>
      <c r="J7" s="159">
        <v>13.55</v>
      </c>
      <c r="K7" s="151">
        <f t="shared" si="0"/>
        <v>145.85220000000001</v>
      </c>
      <c r="L7" s="152">
        <f>Table1[[#This Row],[RERA Carpet Area (Sq. Ft.)]]*1.1</f>
        <v>160.43742000000003</v>
      </c>
      <c r="M7" s="153" t="s">
        <v>168</v>
      </c>
      <c r="N7" s="154" t="s">
        <v>168</v>
      </c>
      <c r="O7" s="154">
        <v>2640000</v>
      </c>
      <c r="P7" s="154">
        <v>2640000</v>
      </c>
      <c r="Q7" s="154">
        <f>Table1[[#This Row],[Agreement Value as per  Excel]]-Table1[[#This Row],[Amt Received as per Excel]]</f>
        <v>0</v>
      </c>
      <c r="R7" s="155">
        <f t="shared" si="1"/>
        <v>18100.515453315067</v>
      </c>
      <c r="S7" s="156"/>
      <c r="T7" s="156"/>
      <c r="U7" s="157"/>
    </row>
    <row r="8" spans="2:21" hidden="1" x14ac:dyDescent="0.3">
      <c r="B8" s="148">
        <v>7</v>
      </c>
      <c r="C8" s="148" t="s">
        <v>156</v>
      </c>
      <c r="D8" s="149" t="s">
        <v>31</v>
      </c>
      <c r="E8" s="150">
        <v>7</v>
      </c>
      <c r="F8" s="150" t="s">
        <v>156</v>
      </c>
      <c r="G8" s="150" t="s">
        <v>165</v>
      </c>
      <c r="H8" s="150" t="s">
        <v>166</v>
      </c>
      <c r="I8" s="150" t="str">
        <f>Table1[[#This Row],[Wing]]&amp;-Table1[[#This Row],[Shop No / Office No. / Flat No.]]</f>
        <v>Shop-7</v>
      </c>
      <c r="J8" s="151">
        <v>14.02</v>
      </c>
      <c r="K8" s="151">
        <f t="shared" si="0"/>
        <v>150.91127999999998</v>
      </c>
      <c r="L8" s="152">
        <f>Table1[[#This Row],[RERA Carpet Area (Sq. Ft.)]]*1.1</f>
        <v>166.00240799999997</v>
      </c>
      <c r="M8" s="153" t="s">
        <v>168</v>
      </c>
      <c r="N8" s="154" t="s">
        <v>168</v>
      </c>
      <c r="O8" s="154">
        <v>2491500</v>
      </c>
      <c r="P8" s="154">
        <v>2491500</v>
      </c>
      <c r="Q8" s="154">
        <f>Table1[[#This Row],[Agreement Value as per  Excel]]-Table1[[#This Row],[Amt Received as per Excel]]</f>
        <v>0</v>
      </c>
      <c r="R8" s="155">
        <f t="shared" si="1"/>
        <v>16509.700268926223</v>
      </c>
      <c r="S8" s="156"/>
      <c r="T8" s="156"/>
      <c r="U8" s="157"/>
    </row>
    <row r="9" spans="2:21" hidden="1" x14ac:dyDescent="0.3">
      <c r="B9" s="148">
        <v>8</v>
      </c>
      <c r="C9" s="148" t="s">
        <v>156</v>
      </c>
      <c r="D9" s="149" t="s">
        <v>31</v>
      </c>
      <c r="E9" s="150">
        <v>8</v>
      </c>
      <c r="F9" s="150" t="s">
        <v>156</v>
      </c>
      <c r="G9" s="150" t="s">
        <v>165</v>
      </c>
      <c r="H9" s="150" t="s">
        <v>166</v>
      </c>
      <c r="I9" s="150" t="str">
        <f>Table1[[#This Row],[Wing]]&amp;-Table1[[#This Row],[Shop No / Office No. / Flat No.]]</f>
        <v>Shop-8</v>
      </c>
      <c r="J9" s="159">
        <v>52.53</v>
      </c>
      <c r="K9" s="151">
        <f t="shared" si="0"/>
        <v>565.43291999999997</v>
      </c>
      <c r="L9" s="152">
        <f>Table1[[#This Row],[RERA Carpet Area (Sq. Ft.)]]*1.1</f>
        <v>621.97621200000003</v>
      </c>
      <c r="M9" s="153" t="s">
        <v>168</v>
      </c>
      <c r="N9" s="154" t="s">
        <v>168</v>
      </c>
      <c r="O9" s="154">
        <v>13000000</v>
      </c>
      <c r="P9" s="154">
        <v>11698000</v>
      </c>
      <c r="Q9" s="154">
        <f>Table1[[#This Row],[Agreement Value as per  Excel]]-Table1[[#This Row],[Amt Received as per Excel]]</f>
        <v>1302000</v>
      </c>
      <c r="R9" s="155">
        <f t="shared" si="1"/>
        <v>22991.23298303891</v>
      </c>
      <c r="S9" s="156"/>
      <c r="T9" s="156"/>
      <c r="U9" s="157"/>
    </row>
    <row r="10" spans="2:21" hidden="1" x14ac:dyDescent="0.3">
      <c r="B10" s="148">
        <v>9</v>
      </c>
      <c r="C10" s="148" t="s">
        <v>156</v>
      </c>
      <c r="D10" s="149" t="s">
        <v>31</v>
      </c>
      <c r="E10" s="150">
        <v>9</v>
      </c>
      <c r="F10" s="150" t="s">
        <v>156</v>
      </c>
      <c r="G10" s="150" t="s">
        <v>165</v>
      </c>
      <c r="H10" s="150" t="s">
        <v>166</v>
      </c>
      <c r="I10" s="150" t="str">
        <f>Table1[[#This Row],[Wing]]&amp;-Table1[[#This Row],[Shop No / Office No. / Flat No.]]</f>
        <v>Shop-9</v>
      </c>
      <c r="J10" s="151">
        <v>47.39</v>
      </c>
      <c r="K10" s="151">
        <f t="shared" si="0"/>
        <v>510.10595999999998</v>
      </c>
      <c r="L10" s="152">
        <f>Table1[[#This Row],[RERA Carpet Area (Sq. Ft.)]]*1.1</f>
        <v>561.11655600000006</v>
      </c>
      <c r="M10" s="153" t="s">
        <v>167</v>
      </c>
      <c r="N10" s="154" t="s">
        <v>261</v>
      </c>
      <c r="O10" s="154"/>
      <c r="P10" s="154"/>
      <c r="Q10" s="154">
        <f>Table1[[#This Row],[Agreement Value as per  Excel]]-Table1[[#This Row],[Amt Received as per Excel]]</f>
        <v>0</v>
      </c>
      <c r="R10" s="155">
        <f t="shared" si="1"/>
        <v>0</v>
      </c>
      <c r="S10" s="156"/>
      <c r="T10" s="156"/>
      <c r="U10" s="157"/>
    </row>
    <row r="11" spans="2:21" hidden="1" x14ac:dyDescent="0.3">
      <c r="B11" s="148">
        <v>10</v>
      </c>
      <c r="C11" s="148" t="s">
        <v>156</v>
      </c>
      <c r="D11" s="149" t="s">
        <v>31</v>
      </c>
      <c r="E11" s="150">
        <v>10</v>
      </c>
      <c r="F11" s="150" t="s">
        <v>156</v>
      </c>
      <c r="G11" s="150" t="s">
        <v>165</v>
      </c>
      <c r="H11" s="150" t="s">
        <v>166</v>
      </c>
      <c r="I11" s="150" t="str">
        <f>Table1[[#This Row],[Wing]]&amp;-Table1[[#This Row],[Shop No / Office No. / Flat No.]]</f>
        <v>Shop-10</v>
      </c>
      <c r="J11" s="151">
        <v>24.2</v>
      </c>
      <c r="K11" s="151">
        <f t="shared" si="0"/>
        <v>260.48879999999997</v>
      </c>
      <c r="L11" s="152">
        <f>Table1[[#This Row],[RERA Carpet Area (Sq. Ft.)]]*1.1</f>
        <v>286.53767999999997</v>
      </c>
      <c r="M11" s="153" t="s">
        <v>167</v>
      </c>
      <c r="N11" s="154" t="s">
        <v>261</v>
      </c>
      <c r="O11" s="154"/>
      <c r="P11" s="154"/>
      <c r="Q11" s="154">
        <f>Table1[[#This Row],[Agreement Value as per  Excel]]-Table1[[#This Row],[Amt Received as per Excel]]</f>
        <v>0</v>
      </c>
      <c r="R11" s="155">
        <f t="shared" si="1"/>
        <v>0</v>
      </c>
      <c r="S11" s="156"/>
      <c r="T11" s="156"/>
      <c r="U11" s="157"/>
    </row>
    <row r="12" spans="2:21" hidden="1" x14ac:dyDescent="0.3">
      <c r="B12" s="148">
        <v>11</v>
      </c>
      <c r="C12" s="148" t="s">
        <v>156</v>
      </c>
      <c r="D12" s="149" t="s">
        <v>31</v>
      </c>
      <c r="E12" s="150">
        <v>11</v>
      </c>
      <c r="F12" s="150" t="s">
        <v>156</v>
      </c>
      <c r="G12" s="150" t="s">
        <v>165</v>
      </c>
      <c r="H12" s="150" t="s">
        <v>166</v>
      </c>
      <c r="I12" s="150" t="str">
        <f>Table1[[#This Row],[Wing]]&amp;-Table1[[#This Row],[Shop No / Office No. / Flat No.]]</f>
        <v>Shop-11</v>
      </c>
      <c r="J12" s="159">
        <v>24.2</v>
      </c>
      <c r="K12" s="151">
        <f t="shared" si="0"/>
        <v>260.48879999999997</v>
      </c>
      <c r="L12" s="152">
        <f>Table1[[#This Row],[RERA Carpet Area (Sq. Ft.)]]*1.1</f>
        <v>286.53767999999997</v>
      </c>
      <c r="M12" s="153" t="s">
        <v>168</v>
      </c>
      <c r="N12" s="154" t="s">
        <v>168</v>
      </c>
      <c r="O12" s="154">
        <v>4306500</v>
      </c>
      <c r="P12" s="154">
        <v>3000000</v>
      </c>
      <c r="Q12" s="154">
        <f>Table1[[#This Row],[Agreement Value as per  Excel]]-Table1[[#This Row],[Amt Received as per Excel]]</f>
        <v>1306500</v>
      </c>
      <c r="R12" s="155">
        <f t="shared" si="1"/>
        <v>16532.380662815449</v>
      </c>
      <c r="S12" s="156"/>
      <c r="T12" s="156"/>
      <c r="U12" s="157"/>
    </row>
    <row r="13" spans="2:21" hidden="1" x14ac:dyDescent="0.3">
      <c r="B13" s="148">
        <v>12</v>
      </c>
      <c r="C13" s="148" t="s">
        <v>156</v>
      </c>
      <c r="D13" s="149" t="s">
        <v>31</v>
      </c>
      <c r="E13" s="150">
        <v>12</v>
      </c>
      <c r="F13" s="150" t="s">
        <v>156</v>
      </c>
      <c r="G13" s="150" t="s">
        <v>165</v>
      </c>
      <c r="H13" s="150" t="s">
        <v>166</v>
      </c>
      <c r="I13" s="150" t="str">
        <f>Table1[[#This Row],[Wing]]&amp;-Table1[[#This Row],[Shop No / Office No. / Flat No.]]</f>
        <v>Shop-12</v>
      </c>
      <c r="J13" s="159">
        <v>76.790000000000006</v>
      </c>
      <c r="K13" s="151">
        <f t="shared" si="0"/>
        <v>826.56756000000007</v>
      </c>
      <c r="L13" s="152">
        <f>Table1[[#This Row],[RERA Carpet Area (Sq. Ft.)]]*1.1</f>
        <v>909.22431600000016</v>
      </c>
      <c r="M13" s="153" t="s">
        <v>168</v>
      </c>
      <c r="N13" s="154" t="s">
        <v>168</v>
      </c>
      <c r="O13" s="154">
        <v>13563000</v>
      </c>
      <c r="P13" s="154">
        <v>7385474</v>
      </c>
      <c r="Q13" s="154">
        <f>Table1[[#This Row],[Agreement Value as per  Excel]]-Table1[[#This Row],[Amt Received as per Excel]]</f>
        <v>6177526</v>
      </c>
      <c r="R13" s="155">
        <f t="shared" si="1"/>
        <v>16408.822044746106</v>
      </c>
      <c r="S13" s="156"/>
      <c r="T13" s="156"/>
      <c r="U13" s="157"/>
    </row>
    <row r="14" spans="2:21" hidden="1" x14ac:dyDescent="0.3">
      <c r="B14" s="148">
        <v>13</v>
      </c>
      <c r="C14" s="148" t="s">
        <v>156</v>
      </c>
      <c r="D14" s="149" t="s">
        <v>31</v>
      </c>
      <c r="E14" s="150">
        <v>13</v>
      </c>
      <c r="F14" s="150" t="s">
        <v>156</v>
      </c>
      <c r="G14" s="150" t="s">
        <v>165</v>
      </c>
      <c r="H14" s="150" t="s">
        <v>166</v>
      </c>
      <c r="I14" s="150" t="str">
        <f>Table1[[#This Row],[Wing]]&amp;-Table1[[#This Row],[Shop No / Office No. / Flat No.]]</f>
        <v>Shop-13</v>
      </c>
      <c r="J14" s="159">
        <v>53.3</v>
      </c>
      <c r="K14" s="151">
        <f t="shared" si="0"/>
        <v>573.72119999999995</v>
      </c>
      <c r="L14" s="152">
        <f>Table1[[#This Row],[RERA Carpet Area (Sq. Ft.)]]*1.1</f>
        <v>631.09331999999995</v>
      </c>
      <c r="M14" s="153" t="s">
        <v>168</v>
      </c>
      <c r="N14" s="154" t="s">
        <v>168</v>
      </c>
      <c r="O14" s="154">
        <v>8860500</v>
      </c>
      <c r="P14" s="154">
        <v>3273439</v>
      </c>
      <c r="Q14" s="154">
        <f>Table1[[#This Row],[Agreement Value as per  Excel]]-Table1[[#This Row],[Amt Received as per Excel]]</f>
        <v>5587061</v>
      </c>
      <c r="R14" s="155">
        <f t="shared" si="1"/>
        <v>15443.912478744032</v>
      </c>
      <c r="S14" s="156"/>
      <c r="T14" s="156"/>
      <c r="U14" s="157"/>
    </row>
    <row r="15" spans="2:21" hidden="1" x14ac:dyDescent="0.3">
      <c r="B15" s="148">
        <v>14</v>
      </c>
      <c r="C15" s="148" t="s">
        <v>156</v>
      </c>
      <c r="D15" s="149" t="s">
        <v>31</v>
      </c>
      <c r="E15" s="150">
        <v>14</v>
      </c>
      <c r="F15" s="150" t="s">
        <v>156</v>
      </c>
      <c r="G15" s="150" t="s">
        <v>165</v>
      </c>
      <c r="H15" s="150" t="s">
        <v>166</v>
      </c>
      <c r="I15" s="150" t="str">
        <f>Table1[[#This Row],[Wing]]&amp;-Table1[[#This Row],[Shop No / Office No. / Flat No.]]</f>
        <v>Shop-14</v>
      </c>
      <c r="J15" s="159">
        <v>53</v>
      </c>
      <c r="K15" s="151">
        <f t="shared" si="0"/>
        <v>570.49199999999996</v>
      </c>
      <c r="L15" s="152">
        <f>Table1[[#This Row],[RERA Carpet Area (Sq. Ft.)]]*1.1</f>
        <v>627.5412</v>
      </c>
      <c r="M15" s="153" t="s">
        <v>168</v>
      </c>
      <c r="N15" s="154" t="s">
        <v>168</v>
      </c>
      <c r="O15" s="154">
        <v>9322500</v>
      </c>
      <c r="P15" s="154">
        <v>2514820</v>
      </c>
      <c r="Q15" s="154">
        <f>Table1[[#This Row],[Agreement Value as per  Excel]]-Table1[[#This Row],[Amt Received as per Excel]]</f>
        <v>6807680</v>
      </c>
      <c r="R15" s="155">
        <f t="shared" si="1"/>
        <v>16341.158158221326</v>
      </c>
      <c r="S15" s="156"/>
      <c r="T15" s="156"/>
      <c r="U15" s="157"/>
    </row>
    <row r="16" spans="2:21" hidden="1" x14ac:dyDescent="0.3">
      <c r="B16" s="148">
        <v>15</v>
      </c>
      <c r="C16" s="148" t="s">
        <v>156</v>
      </c>
      <c r="D16" s="149" t="s">
        <v>31</v>
      </c>
      <c r="E16" s="150">
        <v>15</v>
      </c>
      <c r="F16" s="150" t="s">
        <v>156</v>
      </c>
      <c r="G16" s="150" t="s">
        <v>165</v>
      </c>
      <c r="H16" s="150" t="s">
        <v>166</v>
      </c>
      <c r="I16" s="150" t="str">
        <f>Table1[[#This Row],[Wing]]&amp;-Table1[[#This Row],[Shop No / Office No. / Flat No.]]</f>
        <v>Shop-15</v>
      </c>
      <c r="J16" s="151">
        <v>18</v>
      </c>
      <c r="K16" s="151">
        <f t="shared" si="0"/>
        <v>193.75199999999998</v>
      </c>
      <c r="L16" s="152">
        <f>Table1[[#This Row],[RERA Carpet Area (Sq. Ft.)]]*1.1</f>
        <v>213.12719999999999</v>
      </c>
      <c r="M16" s="153" t="s">
        <v>167</v>
      </c>
      <c r="N16" s="154" t="s">
        <v>168</v>
      </c>
      <c r="O16" s="154">
        <v>9547500</v>
      </c>
      <c r="P16" s="154">
        <v>216000</v>
      </c>
      <c r="Q16" s="154">
        <f>Table1[[#This Row],[Agreement Value as per  Excel]]-Table1[[#This Row],[Amt Received as per Excel]]</f>
        <v>9331500</v>
      </c>
      <c r="R16" s="155">
        <f t="shared" si="1"/>
        <v>49276.910689954173</v>
      </c>
      <c r="S16" s="156"/>
      <c r="T16" s="156"/>
      <c r="U16" s="157"/>
    </row>
    <row r="17" spans="2:21" hidden="1" x14ac:dyDescent="0.3">
      <c r="B17" s="148">
        <v>16</v>
      </c>
      <c r="C17" s="148" t="s">
        <v>156</v>
      </c>
      <c r="D17" s="149" t="s">
        <v>31</v>
      </c>
      <c r="E17" s="150">
        <v>16</v>
      </c>
      <c r="F17" s="150" t="s">
        <v>156</v>
      </c>
      <c r="G17" s="150" t="s">
        <v>165</v>
      </c>
      <c r="H17" s="150" t="s">
        <v>166</v>
      </c>
      <c r="I17" s="150" t="str">
        <f>Table1[[#This Row],[Wing]]&amp;-Table1[[#This Row],[Shop No / Office No. / Flat No.]]</f>
        <v>Shop-16</v>
      </c>
      <c r="J17" s="159">
        <v>14.95</v>
      </c>
      <c r="K17" s="151">
        <f t="shared" si="0"/>
        <v>160.92179999999999</v>
      </c>
      <c r="L17" s="152">
        <f>Table1[[#This Row],[RERA Carpet Area (Sq. Ft.)]]*1.1</f>
        <v>177.01398</v>
      </c>
      <c r="M17" s="153" t="s">
        <v>168</v>
      </c>
      <c r="N17" s="154" t="s">
        <v>168</v>
      </c>
      <c r="O17" s="154">
        <v>6192000</v>
      </c>
      <c r="P17" s="154">
        <v>6192000</v>
      </c>
      <c r="Q17" s="154">
        <f>Table1[[#This Row],[Agreement Value as per  Excel]]-Table1[[#This Row],[Amt Received as per Excel]]</f>
        <v>0</v>
      </c>
      <c r="R17" s="155">
        <f t="shared" si="1"/>
        <v>38478.316797351261</v>
      </c>
      <c r="S17" s="156"/>
      <c r="T17" s="156"/>
      <c r="U17" s="157"/>
    </row>
    <row r="18" spans="2:21" hidden="1" x14ac:dyDescent="0.3">
      <c r="B18" s="148">
        <v>17</v>
      </c>
      <c r="C18" s="148" t="s">
        <v>156</v>
      </c>
      <c r="D18" s="149" t="s">
        <v>31</v>
      </c>
      <c r="E18" s="150">
        <v>17</v>
      </c>
      <c r="F18" s="150" t="s">
        <v>156</v>
      </c>
      <c r="G18" s="150" t="s">
        <v>165</v>
      </c>
      <c r="H18" s="150" t="s">
        <v>166</v>
      </c>
      <c r="I18" s="150" t="str">
        <f>Table1[[#This Row],[Wing]]&amp;-Table1[[#This Row],[Shop No / Office No. / Flat No.]]</f>
        <v>Shop-17</v>
      </c>
      <c r="J18" s="151">
        <v>15.86</v>
      </c>
      <c r="K18" s="151">
        <f t="shared" si="0"/>
        <v>170.71704</v>
      </c>
      <c r="L18" s="152">
        <f>Table1[[#This Row],[RERA Carpet Area (Sq. Ft.)]]*1.1</f>
        <v>187.78874400000001</v>
      </c>
      <c r="M18" s="153" t="s">
        <v>167</v>
      </c>
      <c r="N18" s="154" t="s">
        <v>167</v>
      </c>
      <c r="O18" s="154"/>
      <c r="P18" s="154"/>
      <c r="Q18" s="154">
        <f>Table1[[#This Row],[Agreement Value as per  Excel]]-Table1[[#This Row],[Amt Received as per Excel]]</f>
        <v>0</v>
      </c>
      <c r="R18" s="155">
        <f t="shared" si="1"/>
        <v>0</v>
      </c>
      <c r="S18" s="156"/>
      <c r="T18" s="156"/>
      <c r="U18" s="157"/>
    </row>
    <row r="19" spans="2:21" hidden="1" x14ac:dyDescent="0.3">
      <c r="B19" s="148">
        <v>18</v>
      </c>
      <c r="C19" s="148" t="s">
        <v>156</v>
      </c>
      <c r="D19" s="149" t="s">
        <v>31</v>
      </c>
      <c r="E19" s="150">
        <v>18</v>
      </c>
      <c r="F19" s="150" t="s">
        <v>156</v>
      </c>
      <c r="G19" s="150" t="s">
        <v>165</v>
      </c>
      <c r="H19" s="150" t="s">
        <v>166</v>
      </c>
      <c r="I19" s="150" t="str">
        <f>Table1[[#This Row],[Wing]]&amp;-Table1[[#This Row],[Shop No / Office No. / Flat No.]]</f>
        <v>Shop-18</v>
      </c>
      <c r="J19" s="159">
        <v>16</v>
      </c>
      <c r="K19" s="151">
        <f t="shared" si="0"/>
        <v>172.22399999999999</v>
      </c>
      <c r="L19" s="152">
        <f>Table1[[#This Row],[RERA Carpet Area (Sq. Ft.)]]*1.1</f>
        <v>189.44640000000001</v>
      </c>
      <c r="M19" s="153" t="s">
        <v>168</v>
      </c>
      <c r="N19" s="154" t="s">
        <v>168</v>
      </c>
      <c r="O19" s="154">
        <v>5250000</v>
      </c>
      <c r="P19" s="154">
        <v>4138615</v>
      </c>
      <c r="Q19" s="154">
        <f>Table1[[#This Row],[Agreement Value as per  Excel]]-Table1[[#This Row],[Amt Received as per Excel]]</f>
        <v>1111385</v>
      </c>
      <c r="R19" s="155">
        <f t="shared" si="1"/>
        <v>30483.556298773692</v>
      </c>
      <c r="S19" s="156"/>
      <c r="T19" s="156"/>
      <c r="U19" s="157"/>
    </row>
    <row r="20" spans="2:21" hidden="1" x14ac:dyDescent="0.3">
      <c r="B20" s="148">
        <v>19</v>
      </c>
      <c r="C20" s="148" t="s">
        <v>156</v>
      </c>
      <c r="D20" s="149" t="s">
        <v>31</v>
      </c>
      <c r="E20" s="150">
        <v>19</v>
      </c>
      <c r="F20" s="150" t="s">
        <v>156</v>
      </c>
      <c r="G20" s="150" t="s">
        <v>165</v>
      </c>
      <c r="H20" s="150" t="s">
        <v>166</v>
      </c>
      <c r="I20" s="150" t="str">
        <f>Table1[[#This Row],[Wing]]&amp;-Table1[[#This Row],[Shop No / Office No. / Flat No.]]</f>
        <v>Shop-19</v>
      </c>
      <c r="J20" s="159">
        <v>13.88</v>
      </c>
      <c r="K20" s="151">
        <f t="shared" si="0"/>
        <v>149.40432000000001</v>
      </c>
      <c r="L20" s="152">
        <f>Table1[[#This Row],[RERA Carpet Area (Sq. Ft.)]]*1.1</f>
        <v>164.34475200000003</v>
      </c>
      <c r="M20" s="153" t="s">
        <v>168</v>
      </c>
      <c r="N20" s="154" t="s">
        <v>168</v>
      </c>
      <c r="O20" s="154">
        <v>2524500</v>
      </c>
      <c r="P20" s="154">
        <v>1587440</v>
      </c>
      <c r="Q20" s="154">
        <f>Table1[[#This Row],[Agreement Value as per  Excel]]-Table1[[#This Row],[Amt Received as per Excel]]</f>
        <v>937060</v>
      </c>
      <c r="R20" s="155">
        <f t="shared" si="1"/>
        <v>16897.101770551213</v>
      </c>
      <c r="S20" s="156"/>
      <c r="T20" s="156"/>
      <c r="U20" s="157"/>
    </row>
    <row r="21" spans="2:21" hidden="1" x14ac:dyDescent="0.3">
      <c r="B21" s="148">
        <v>20</v>
      </c>
      <c r="C21" s="148" t="s">
        <v>156</v>
      </c>
      <c r="D21" s="149" t="s">
        <v>31</v>
      </c>
      <c r="E21" s="150">
        <v>20</v>
      </c>
      <c r="F21" s="150" t="s">
        <v>156</v>
      </c>
      <c r="G21" s="150" t="s">
        <v>165</v>
      </c>
      <c r="H21" s="150" t="s">
        <v>166</v>
      </c>
      <c r="I21" s="150" t="str">
        <f>Table1[[#This Row],[Wing]]&amp;-Table1[[#This Row],[Shop No / Office No. / Flat No.]]</f>
        <v>Shop-20</v>
      </c>
      <c r="J21" s="159">
        <v>20.05</v>
      </c>
      <c r="K21" s="151">
        <f t="shared" si="0"/>
        <v>215.81819999999999</v>
      </c>
      <c r="L21" s="152">
        <f>Table1[[#This Row],[RERA Carpet Area (Sq. Ft.)]]*1.1</f>
        <v>237.40002000000001</v>
      </c>
      <c r="M21" s="153" t="s">
        <v>168</v>
      </c>
      <c r="N21" s="154" t="s">
        <v>168</v>
      </c>
      <c r="O21" s="154">
        <v>3630000</v>
      </c>
      <c r="P21" s="154">
        <v>0</v>
      </c>
      <c r="Q21" s="154">
        <f>Table1[[#This Row],[Agreement Value as per  Excel]]-Table1[[#This Row],[Amt Received as per Excel]]</f>
        <v>3630000</v>
      </c>
      <c r="R21" s="155">
        <f t="shared" si="1"/>
        <v>16819.712146612288</v>
      </c>
      <c r="S21" s="156"/>
      <c r="T21" s="156"/>
      <c r="U21" s="157"/>
    </row>
    <row r="22" spans="2:21" hidden="1" x14ac:dyDescent="0.3">
      <c r="B22" s="148">
        <v>21</v>
      </c>
      <c r="C22" s="148" t="s">
        <v>156</v>
      </c>
      <c r="D22" s="149" t="s">
        <v>31</v>
      </c>
      <c r="E22" s="150">
        <v>21</v>
      </c>
      <c r="F22" s="150" t="s">
        <v>156</v>
      </c>
      <c r="G22" s="150" t="s">
        <v>165</v>
      </c>
      <c r="H22" s="150" t="s">
        <v>166</v>
      </c>
      <c r="I22" s="150" t="str">
        <f>Table1[[#This Row],[Wing]]&amp;-Table1[[#This Row],[Shop No / Office No. / Flat No.]]</f>
        <v>Shop-21</v>
      </c>
      <c r="J22" s="151">
        <v>19.670000000000002</v>
      </c>
      <c r="K22" s="151">
        <f t="shared" si="0"/>
        <v>211.72788</v>
      </c>
      <c r="L22" s="152">
        <f>Table1[[#This Row],[RERA Carpet Area (Sq. Ft.)]]*1.1</f>
        <v>232.90066800000002</v>
      </c>
      <c r="M22" s="153" t="s">
        <v>168</v>
      </c>
      <c r="N22" s="154" t="s">
        <v>168</v>
      </c>
      <c r="O22" s="154">
        <v>3630000</v>
      </c>
      <c r="P22" s="154">
        <v>3125500</v>
      </c>
      <c r="Q22" s="154">
        <f>Table1[[#This Row],[Agreement Value as per  Excel]]-Table1[[#This Row],[Amt Received as per Excel]]</f>
        <v>504500</v>
      </c>
      <c r="R22" s="155">
        <f t="shared" si="1"/>
        <v>17144.648120974904</v>
      </c>
      <c r="S22" s="156"/>
      <c r="T22" s="156"/>
      <c r="U22" s="157"/>
    </row>
    <row r="23" spans="2:21" ht="33" hidden="1" x14ac:dyDescent="0.3">
      <c r="B23" s="148">
        <v>22</v>
      </c>
      <c r="C23" s="148" t="s">
        <v>156</v>
      </c>
      <c r="D23" s="149" t="s">
        <v>249</v>
      </c>
      <c r="E23" s="150">
        <v>22</v>
      </c>
      <c r="F23" s="150" t="s">
        <v>156</v>
      </c>
      <c r="G23" s="150" t="s">
        <v>165</v>
      </c>
      <c r="H23" s="150" t="s">
        <v>166</v>
      </c>
      <c r="I23" s="150" t="str">
        <f>Table1[[#This Row],[Wing]]&amp;-Table1[[#This Row],[Shop No / Office No. / Flat No.]]</f>
        <v>Shop-22</v>
      </c>
      <c r="J23" s="151">
        <f>37.35+36.85</f>
        <v>74.2</v>
      </c>
      <c r="K23" s="151">
        <f t="shared" si="0"/>
        <v>798.68880000000001</v>
      </c>
      <c r="L23" s="152">
        <f>Table1[[#This Row],[RERA Carpet Area (Sq. Ft.)]]*1.1</f>
        <v>878.55768000000012</v>
      </c>
      <c r="M23" s="153" t="s">
        <v>167</v>
      </c>
      <c r="N23" s="154" t="s">
        <v>168</v>
      </c>
      <c r="O23" s="154">
        <v>18518000</v>
      </c>
      <c r="P23" s="154">
        <v>1722174</v>
      </c>
      <c r="Q23" s="154">
        <f>Table1[[#This Row],[Agreement Value as per  Excel]]-Table1[[#This Row],[Amt Received as per Excel]]</f>
        <v>16795826</v>
      </c>
      <c r="R23" s="155">
        <f t="shared" si="1"/>
        <v>23185.50103619833</v>
      </c>
      <c r="S23" s="156"/>
      <c r="T23" s="156"/>
      <c r="U23" s="157"/>
    </row>
    <row r="24" spans="2:21" ht="33" hidden="1" x14ac:dyDescent="0.3">
      <c r="B24" s="148">
        <v>23</v>
      </c>
      <c r="C24" s="148" t="s">
        <v>156</v>
      </c>
      <c r="D24" s="149" t="s">
        <v>249</v>
      </c>
      <c r="E24" s="150">
        <v>23</v>
      </c>
      <c r="F24" s="150" t="s">
        <v>156</v>
      </c>
      <c r="G24" s="150" t="s">
        <v>165</v>
      </c>
      <c r="H24" s="150" t="s">
        <v>166</v>
      </c>
      <c r="I24" s="150" t="str">
        <f>Table1[[#This Row],[Wing]]&amp;-Table1[[#This Row],[Shop No / Office No. / Flat No.]]</f>
        <v>Shop-23</v>
      </c>
      <c r="J24" s="159">
        <f>37.35+36.85</f>
        <v>74.2</v>
      </c>
      <c r="K24" s="151">
        <f t="shared" si="0"/>
        <v>798.68880000000001</v>
      </c>
      <c r="L24" s="152">
        <f>Table1[[#This Row],[RERA Carpet Area (Sq. Ft.)]]*1.1</f>
        <v>878.55768000000012</v>
      </c>
      <c r="M24" s="153" t="s">
        <v>167</v>
      </c>
      <c r="N24" s="154" t="s">
        <v>168</v>
      </c>
      <c r="O24" s="154">
        <v>18682500</v>
      </c>
      <c r="P24" s="154">
        <v>1737472</v>
      </c>
      <c r="Q24" s="154">
        <f>Table1[[#This Row],[Agreement Value as per  Excel]]-Table1[[#This Row],[Amt Received as per Excel]]</f>
        <v>16945028</v>
      </c>
      <c r="R24" s="155">
        <f t="shared" si="1"/>
        <v>23391.463608854912</v>
      </c>
      <c r="S24" s="156"/>
      <c r="T24" s="156"/>
      <c r="U24" s="157"/>
    </row>
    <row r="25" spans="2:21" ht="33" hidden="1" x14ac:dyDescent="0.3">
      <c r="B25" s="148">
        <v>24</v>
      </c>
      <c r="C25" s="148" t="s">
        <v>156</v>
      </c>
      <c r="D25" s="149" t="s">
        <v>249</v>
      </c>
      <c r="E25" s="150">
        <v>24</v>
      </c>
      <c r="F25" s="150" t="s">
        <v>156</v>
      </c>
      <c r="G25" s="150" t="s">
        <v>165</v>
      </c>
      <c r="H25" s="150" t="s">
        <v>166</v>
      </c>
      <c r="I25" s="150" t="str">
        <f>Table1[[#This Row],[Wing]]&amp;-Table1[[#This Row],[Shop No / Office No. / Flat No.]]</f>
        <v>Shop-24</v>
      </c>
      <c r="J25" s="159">
        <f>36.68+38.18</f>
        <v>74.86</v>
      </c>
      <c r="K25" s="151">
        <f t="shared" si="0"/>
        <v>805.79303999999991</v>
      </c>
      <c r="L25" s="152">
        <f>Table1[[#This Row],[RERA Carpet Area (Sq. Ft.)]]*1.1</f>
        <v>886.372344</v>
      </c>
      <c r="M25" s="153" t="s">
        <v>168</v>
      </c>
      <c r="N25" s="154" t="s">
        <v>168</v>
      </c>
      <c r="O25" s="154">
        <v>13513500</v>
      </c>
      <c r="P25" s="154">
        <v>8170672</v>
      </c>
      <c r="Q25" s="154">
        <f>Table1[[#This Row],[Agreement Value as per  Excel]]-Table1[[#This Row],[Amt Received as per Excel]]</f>
        <v>5342828</v>
      </c>
      <c r="R25" s="155">
        <f t="shared" si="1"/>
        <v>16770.435247244131</v>
      </c>
      <c r="S25" s="156"/>
      <c r="T25" s="156"/>
      <c r="U25" s="157"/>
    </row>
    <row r="26" spans="2:21" ht="33" hidden="1" x14ac:dyDescent="0.3">
      <c r="B26" s="148">
        <v>25</v>
      </c>
      <c r="C26" s="148" t="s">
        <v>156</v>
      </c>
      <c r="D26" s="149" t="s">
        <v>249</v>
      </c>
      <c r="E26" s="150">
        <v>25</v>
      </c>
      <c r="F26" s="150" t="s">
        <v>156</v>
      </c>
      <c r="G26" s="150" t="s">
        <v>165</v>
      </c>
      <c r="H26" s="150" t="s">
        <v>166</v>
      </c>
      <c r="I26" s="150" t="str">
        <f>Table1[[#This Row],[Wing]]&amp;-Table1[[#This Row],[Shop No / Office No. / Flat No.]]</f>
        <v>Shop-25</v>
      </c>
      <c r="J26" s="159">
        <f>54.84+87.9</f>
        <v>142.74</v>
      </c>
      <c r="K26" s="151">
        <f t="shared" si="0"/>
        <v>1536.45336</v>
      </c>
      <c r="L26" s="152">
        <f>Table1[[#This Row],[RERA Carpet Area (Sq. Ft.)]]*1.1</f>
        <v>1690.098696</v>
      </c>
      <c r="M26" s="153" t="s">
        <v>168</v>
      </c>
      <c r="N26" s="154" t="s">
        <v>168</v>
      </c>
      <c r="O26" s="154">
        <v>25096500</v>
      </c>
      <c r="P26" s="154">
        <v>0</v>
      </c>
      <c r="Q26" s="154">
        <f>Table1[[#This Row],[Agreement Value as per  Excel]]-Table1[[#This Row],[Amt Received as per Excel]]</f>
        <v>25096500</v>
      </c>
      <c r="R26" s="155">
        <f t="shared" si="1"/>
        <v>16334.046091708244</v>
      </c>
      <c r="S26" s="156"/>
      <c r="T26" s="156"/>
      <c r="U26" s="157"/>
    </row>
    <row r="27" spans="2:21" ht="33" hidden="1" x14ac:dyDescent="0.3">
      <c r="B27" s="148">
        <v>26</v>
      </c>
      <c r="C27" s="148" t="s">
        <v>156</v>
      </c>
      <c r="D27" s="149" t="s">
        <v>249</v>
      </c>
      <c r="E27" s="150">
        <v>26</v>
      </c>
      <c r="F27" s="150" t="s">
        <v>156</v>
      </c>
      <c r="G27" s="150" t="s">
        <v>165</v>
      </c>
      <c r="H27" s="150" t="s">
        <v>166</v>
      </c>
      <c r="I27" s="150" t="str">
        <f>Table1[[#This Row],[Wing]]&amp;-Table1[[#This Row],[Shop No / Office No. / Flat No.]]</f>
        <v>Shop-26</v>
      </c>
      <c r="J27" s="159">
        <f>34.84+36.07</f>
        <v>70.91</v>
      </c>
      <c r="K27" s="151">
        <f t="shared" si="0"/>
        <v>763.27523999999994</v>
      </c>
      <c r="L27" s="152">
        <f>Table1[[#This Row],[RERA Carpet Area (Sq. Ft.)]]*1.1</f>
        <v>839.60276399999998</v>
      </c>
      <c r="M27" s="153" t="s">
        <v>168</v>
      </c>
      <c r="N27" s="154" t="s">
        <v>168</v>
      </c>
      <c r="O27" s="154">
        <v>12144000</v>
      </c>
      <c r="P27" s="154">
        <v>7759699</v>
      </c>
      <c r="Q27" s="154">
        <f>Table1[[#This Row],[Agreement Value as per  Excel]]-Table1[[#This Row],[Amt Received as per Excel]]</f>
        <v>4384301</v>
      </c>
      <c r="R27" s="155">
        <f t="shared" si="1"/>
        <v>15910.381162108706</v>
      </c>
      <c r="S27" s="156"/>
      <c r="T27" s="156"/>
      <c r="U27" s="157"/>
    </row>
    <row r="28" spans="2:21" ht="33" hidden="1" x14ac:dyDescent="0.3">
      <c r="B28" s="148">
        <v>27</v>
      </c>
      <c r="C28" s="148" t="s">
        <v>156</v>
      </c>
      <c r="D28" s="149" t="s">
        <v>249</v>
      </c>
      <c r="E28" s="150">
        <v>27</v>
      </c>
      <c r="F28" s="150" t="s">
        <v>156</v>
      </c>
      <c r="G28" s="150" t="s">
        <v>165</v>
      </c>
      <c r="H28" s="150" t="s">
        <v>166</v>
      </c>
      <c r="I28" s="150" t="str">
        <f>Table1[[#This Row],[Wing]]&amp;-Table1[[#This Row],[Shop No / Office No. / Flat No.]]</f>
        <v>Shop-27</v>
      </c>
      <c r="J28" s="159">
        <f>40.9+40.37</f>
        <v>81.27</v>
      </c>
      <c r="K28" s="151">
        <f t="shared" si="0"/>
        <v>874.79027999999994</v>
      </c>
      <c r="L28" s="152">
        <f>Table1[[#This Row],[RERA Carpet Area (Sq. Ft.)]]*1.1</f>
        <v>962.26930800000002</v>
      </c>
      <c r="M28" s="153" t="s">
        <v>168</v>
      </c>
      <c r="N28" s="154" t="s">
        <v>168</v>
      </c>
      <c r="O28" s="154">
        <v>16887000</v>
      </c>
      <c r="P28" s="154">
        <v>11858570</v>
      </c>
      <c r="Q28" s="154">
        <f>Table1[[#This Row],[Agreement Value as per  Excel]]-Table1[[#This Row],[Amt Received as per Excel]]</f>
        <v>5028430</v>
      </c>
      <c r="R28" s="155">
        <f t="shared" si="1"/>
        <v>19304.055367419034</v>
      </c>
      <c r="S28" s="156"/>
      <c r="T28" s="156"/>
      <c r="U28" s="157"/>
    </row>
    <row r="29" spans="2:21" ht="33" hidden="1" x14ac:dyDescent="0.3">
      <c r="B29" s="148">
        <v>28</v>
      </c>
      <c r="C29" s="148" t="s">
        <v>156</v>
      </c>
      <c r="D29" s="149" t="s">
        <v>249</v>
      </c>
      <c r="E29" s="150">
        <v>28</v>
      </c>
      <c r="F29" s="150" t="s">
        <v>156</v>
      </c>
      <c r="G29" s="150" t="s">
        <v>165</v>
      </c>
      <c r="H29" s="150" t="s">
        <v>166</v>
      </c>
      <c r="I29" s="150" t="str">
        <f>Table1[[#This Row],[Wing]]&amp;-Table1[[#This Row],[Shop No / Office No. / Flat No.]]</f>
        <v>Shop-28</v>
      </c>
      <c r="J29" s="159">
        <f>40.9+40.37</f>
        <v>81.27</v>
      </c>
      <c r="K29" s="151">
        <f t="shared" si="0"/>
        <v>874.79027999999994</v>
      </c>
      <c r="L29" s="152">
        <f>Table1[[#This Row],[RERA Carpet Area (Sq. Ft.)]]*1.1</f>
        <v>962.26930800000002</v>
      </c>
      <c r="M29" s="153" t="s">
        <v>168</v>
      </c>
      <c r="N29" s="154" t="s">
        <v>168</v>
      </c>
      <c r="O29" s="154">
        <v>16887000</v>
      </c>
      <c r="P29" s="154">
        <v>11809700</v>
      </c>
      <c r="Q29" s="154">
        <f>Table1[[#This Row],[Agreement Value as per  Excel]]-Table1[[#This Row],[Amt Received as per Excel]]</f>
        <v>5077300</v>
      </c>
      <c r="R29" s="155">
        <f t="shared" si="1"/>
        <v>19304.055367419034</v>
      </c>
      <c r="S29" s="156"/>
      <c r="T29" s="156"/>
      <c r="U29" s="157"/>
    </row>
    <row r="30" spans="2:21" ht="33" hidden="1" x14ac:dyDescent="0.3">
      <c r="B30" s="148">
        <v>29</v>
      </c>
      <c r="C30" s="148" t="s">
        <v>156</v>
      </c>
      <c r="D30" s="149" t="s">
        <v>249</v>
      </c>
      <c r="E30" s="150">
        <v>29</v>
      </c>
      <c r="F30" s="150" t="s">
        <v>156</v>
      </c>
      <c r="G30" s="150" t="s">
        <v>165</v>
      </c>
      <c r="H30" s="150" t="s">
        <v>166</v>
      </c>
      <c r="I30" s="150" t="str">
        <f>Table1[[#This Row],[Wing]]&amp;-Table1[[#This Row],[Shop No / Office No. / Flat No.]]</f>
        <v>Shop-29</v>
      </c>
      <c r="J30" s="159">
        <f>31.28+34.35</f>
        <v>65.63</v>
      </c>
      <c r="K30" s="151">
        <f t="shared" si="0"/>
        <v>706.44131999999991</v>
      </c>
      <c r="L30" s="152">
        <f>Table1[[#This Row],[RERA Carpet Area (Sq. Ft.)]]*1.1</f>
        <v>777.08545199999992</v>
      </c>
      <c r="M30" s="153" t="s">
        <v>168</v>
      </c>
      <c r="N30" s="154" t="s">
        <v>168</v>
      </c>
      <c r="O30" s="154">
        <v>14392900</v>
      </c>
      <c r="P30" s="154">
        <v>13932400</v>
      </c>
      <c r="Q30" s="154">
        <f>Table1[[#This Row],[Agreement Value as per  Excel]]-Table1[[#This Row],[Amt Received as per Excel]]</f>
        <v>460500</v>
      </c>
      <c r="R30" s="155">
        <f t="shared" si="1"/>
        <v>20373.80825912052</v>
      </c>
      <c r="S30" s="156"/>
      <c r="T30" s="156"/>
      <c r="U30" s="157"/>
    </row>
    <row r="31" spans="2:21" ht="33" hidden="1" x14ac:dyDescent="0.3">
      <c r="B31" s="148">
        <v>30</v>
      </c>
      <c r="C31" s="148" t="s">
        <v>156</v>
      </c>
      <c r="D31" s="149" t="s">
        <v>249</v>
      </c>
      <c r="E31" s="150">
        <v>30</v>
      </c>
      <c r="F31" s="150" t="s">
        <v>156</v>
      </c>
      <c r="G31" s="150" t="s">
        <v>165</v>
      </c>
      <c r="H31" s="150" t="s">
        <v>166</v>
      </c>
      <c r="I31" s="150" t="str">
        <f>Table1[[#This Row],[Wing]]&amp;-Table1[[#This Row],[Shop No / Office No. / Flat No.]]</f>
        <v>Shop-30</v>
      </c>
      <c r="J31" s="159">
        <f>48.32+62.86</f>
        <v>111.18</v>
      </c>
      <c r="K31" s="151">
        <f t="shared" si="0"/>
        <v>1196.74152</v>
      </c>
      <c r="L31" s="152">
        <f>Table1[[#This Row],[RERA Carpet Area (Sq. Ft.)]]*1.1</f>
        <v>1316.4156720000001</v>
      </c>
      <c r="M31" s="153" t="s">
        <v>168</v>
      </c>
      <c r="N31" s="154" t="s">
        <v>168</v>
      </c>
      <c r="O31" s="154">
        <v>18304900</v>
      </c>
      <c r="P31" s="154">
        <v>14399326</v>
      </c>
      <c r="Q31" s="154">
        <f>Table1[[#This Row],[Agreement Value as per  Excel]]-Table1[[#This Row],[Amt Received as per Excel]]</f>
        <v>3905574</v>
      </c>
      <c r="R31" s="155">
        <f t="shared" si="1"/>
        <v>15295.617051875997</v>
      </c>
      <c r="S31" s="156"/>
      <c r="T31" s="156"/>
      <c r="U31" s="157"/>
    </row>
    <row r="32" spans="2:21" ht="33" hidden="1" x14ac:dyDescent="0.3">
      <c r="B32" s="148">
        <v>31</v>
      </c>
      <c r="C32" s="148" t="s">
        <v>156</v>
      </c>
      <c r="D32" s="149" t="s">
        <v>249</v>
      </c>
      <c r="E32" s="150">
        <v>31</v>
      </c>
      <c r="F32" s="150" t="s">
        <v>156</v>
      </c>
      <c r="G32" s="150" t="s">
        <v>165</v>
      </c>
      <c r="H32" s="150" t="s">
        <v>166</v>
      </c>
      <c r="I32" s="150" t="str">
        <f>Table1[[#This Row],[Wing]]&amp;-Table1[[#This Row],[Shop No / Office No. / Flat No.]]</f>
        <v>Shop-31</v>
      </c>
      <c r="J32" s="159">
        <f>48.32+55.01</f>
        <v>103.33</v>
      </c>
      <c r="K32" s="151">
        <f t="shared" si="0"/>
        <v>1112.2441199999998</v>
      </c>
      <c r="L32" s="152">
        <f>Table1[[#This Row],[RERA Carpet Area (Sq. Ft.)]]*1.1</f>
        <v>1223.4685319999999</v>
      </c>
      <c r="M32" s="153" t="s">
        <v>168</v>
      </c>
      <c r="N32" s="154" t="s">
        <v>168</v>
      </c>
      <c r="O32" s="154">
        <v>17815900</v>
      </c>
      <c r="P32" s="154">
        <v>14347858</v>
      </c>
      <c r="Q32" s="154">
        <f>Table1[[#This Row],[Agreement Value as per  Excel]]-Table1[[#This Row],[Amt Received as per Excel]]</f>
        <v>3468042</v>
      </c>
      <c r="R32" s="155">
        <f t="shared" si="1"/>
        <v>16017.976341380885</v>
      </c>
      <c r="S32" s="156"/>
      <c r="T32" s="156"/>
      <c r="U32" s="157"/>
    </row>
    <row r="33" spans="2:21" ht="33" hidden="1" x14ac:dyDescent="0.3">
      <c r="B33" s="148">
        <v>32</v>
      </c>
      <c r="C33" s="148" t="s">
        <v>156</v>
      </c>
      <c r="D33" s="149" t="s">
        <v>249</v>
      </c>
      <c r="E33" s="150">
        <v>32</v>
      </c>
      <c r="F33" s="150" t="s">
        <v>156</v>
      </c>
      <c r="G33" s="150" t="s">
        <v>165</v>
      </c>
      <c r="H33" s="150" t="s">
        <v>166</v>
      </c>
      <c r="I33" s="150" t="str">
        <f>Table1[[#This Row],[Wing]]&amp;-Table1[[#This Row],[Shop No / Office No. / Flat No.]]</f>
        <v>Shop-32</v>
      </c>
      <c r="J33" s="151">
        <f>67.3+55.05</f>
        <v>122.35</v>
      </c>
      <c r="K33" s="151">
        <f t="shared" si="0"/>
        <v>1316.9753999999998</v>
      </c>
      <c r="L33" s="152">
        <f>Table1[[#This Row],[RERA Carpet Area (Sq. Ft.)]]*1.1</f>
        <v>1448.6729399999999</v>
      </c>
      <c r="M33" s="153" t="s">
        <v>167</v>
      </c>
      <c r="N33" s="154" t="s">
        <v>168</v>
      </c>
      <c r="O33" s="154">
        <v>25944000</v>
      </c>
      <c r="P33" s="154">
        <v>1281896</v>
      </c>
      <c r="Q33" s="154">
        <f>Table1[[#This Row],[Agreement Value as per  Excel]]-Table1[[#This Row],[Amt Received as per Excel]]</f>
        <v>24662104</v>
      </c>
      <c r="R33" s="155">
        <f t="shared" si="1"/>
        <v>19699.684595475363</v>
      </c>
      <c r="S33" s="156"/>
      <c r="T33" s="156"/>
      <c r="U33" s="157"/>
    </row>
    <row r="34" spans="2:21" ht="33" hidden="1" x14ac:dyDescent="0.3">
      <c r="B34" s="148">
        <v>33</v>
      </c>
      <c r="C34" s="148" t="s">
        <v>156</v>
      </c>
      <c r="D34" s="149" t="s">
        <v>249</v>
      </c>
      <c r="E34" s="150">
        <v>33</v>
      </c>
      <c r="F34" s="150" t="s">
        <v>156</v>
      </c>
      <c r="G34" s="150" t="s">
        <v>165</v>
      </c>
      <c r="H34" s="150" t="s">
        <v>166</v>
      </c>
      <c r="I34" s="150" t="str">
        <f>Table1[[#This Row],[Wing]]&amp;-Table1[[#This Row],[Shop No / Office No. / Flat No.]]</f>
        <v>Shop-33</v>
      </c>
      <c r="J34" s="159">
        <f>67.19+61.66</f>
        <v>128.85</v>
      </c>
      <c r="K34" s="151">
        <f t="shared" si="0"/>
        <v>1386.9413999999999</v>
      </c>
      <c r="L34" s="152">
        <f>Table1[[#This Row],[RERA Carpet Area (Sq. Ft.)]]*1.1</f>
        <v>1525.63554</v>
      </c>
      <c r="M34" s="153" t="s">
        <v>168</v>
      </c>
      <c r="N34" s="154" t="s">
        <v>168</v>
      </c>
      <c r="O34" s="154">
        <v>22324500</v>
      </c>
      <c r="P34" s="154">
        <v>11900000</v>
      </c>
      <c r="Q34" s="154">
        <f>Table1[[#This Row],[Agreement Value as per  Excel]]-Table1[[#This Row],[Amt Received as per Excel]]</f>
        <v>10424500</v>
      </c>
      <c r="R34" s="155">
        <f t="shared" si="1"/>
        <v>16096.209976859875</v>
      </c>
      <c r="S34" s="156"/>
      <c r="T34" s="156"/>
      <c r="U34" s="157"/>
    </row>
    <row r="35" spans="2:21" ht="33" hidden="1" x14ac:dyDescent="0.3">
      <c r="B35" s="148">
        <v>34</v>
      </c>
      <c r="C35" s="148" t="s">
        <v>156</v>
      </c>
      <c r="D35" s="149" t="s">
        <v>249</v>
      </c>
      <c r="E35" s="150">
        <v>34</v>
      </c>
      <c r="F35" s="150" t="s">
        <v>156</v>
      </c>
      <c r="G35" s="150" t="s">
        <v>165</v>
      </c>
      <c r="H35" s="150" t="s">
        <v>166</v>
      </c>
      <c r="I35" s="150" t="str">
        <f>Table1[[#This Row],[Wing]]&amp;-Table1[[#This Row],[Shop No / Office No. / Flat No.]]</f>
        <v>Shop-34</v>
      </c>
      <c r="J35" s="159">
        <f>48.49+54.68</f>
        <v>103.17</v>
      </c>
      <c r="K35" s="151">
        <f t="shared" si="0"/>
        <v>1110.52188</v>
      </c>
      <c r="L35" s="152">
        <f>Table1[[#This Row],[RERA Carpet Area (Sq. Ft.)]]*1.1</f>
        <v>1221.5740680000001</v>
      </c>
      <c r="M35" s="153" t="s">
        <v>168</v>
      </c>
      <c r="N35" s="154" t="s">
        <v>168</v>
      </c>
      <c r="O35" s="154">
        <v>19337500</v>
      </c>
      <c r="P35" s="154">
        <v>729375</v>
      </c>
      <c r="Q35" s="154">
        <f>Table1[[#This Row],[Agreement Value as per  Excel]]-Table1[[#This Row],[Amt Received as per Excel]]</f>
        <v>18608125</v>
      </c>
      <c r="R35" s="155">
        <f t="shared" si="1"/>
        <v>17412.984244848918</v>
      </c>
      <c r="S35" s="156"/>
      <c r="T35" s="156"/>
      <c r="U35" s="157"/>
    </row>
    <row r="36" spans="2:21" ht="33" hidden="1" x14ac:dyDescent="0.3">
      <c r="B36" s="148">
        <v>35</v>
      </c>
      <c r="C36" s="148" t="s">
        <v>156</v>
      </c>
      <c r="D36" s="149" t="s">
        <v>249</v>
      </c>
      <c r="E36" s="150">
        <v>35</v>
      </c>
      <c r="F36" s="150" t="s">
        <v>156</v>
      </c>
      <c r="G36" s="150" t="s">
        <v>165</v>
      </c>
      <c r="H36" s="150" t="s">
        <v>166</v>
      </c>
      <c r="I36" s="150" t="str">
        <f>Table1[[#This Row],[Wing]]&amp;-Table1[[#This Row],[Shop No / Office No. / Flat No.]]</f>
        <v>Shop-35</v>
      </c>
      <c r="J36" s="159">
        <f>48.49+52.28</f>
        <v>100.77000000000001</v>
      </c>
      <c r="K36" s="151">
        <f t="shared" si="0"/>
        <v>1084.6882800000001</v>
      </c>
      <c r="L36" s="152">
        <f>Table1[[#This Row],[RERA Carpet Area (Sq. Ft.)]]*1.1</f>
        <v>1193.1571080000001</v>
      </c>
      <c r="M36" s="153" t="s">
        <v>168</v>
      </c>
      <c r="N36" s="154" t="s">
        <v>168</v>
      </c>
      <c r="O36" s="154">
        <v>18645000</v>
      </c>
      <c r="P36" s="154">
        <v>13052438</v>
      </c>
      <c r="Q36" s="154">
        <f>Table1[[#This Row],[Agreement Value as per  Excel]]-Table1[[#This Row],[Amt Received as per Excel]]</f>
        <v>5592562</v>
      </c>
      <c r="R36" s="155">
        <f t="shared" si="1"/>
        <v>17189.270266661311</v>
      </c>
      <c r="S36" s="156"/>
      <c r="T36" s="156"/>
      <c r="U36" s="157"/>
    </row>
    <row r="37" spans="2:21" ht="33" hidden="1" x14ac:dyDescent="0.3">
      <c r="B37" s="148">
        <v>36</v>
      </c>
      <c r="C37" s="148" t="s">
        <v>156</v>
      </c>
      <c r="D37" s="149" t="s">
        <v>249</v>
      </c>
      <c r="E37" s="150">
        <v>36</v>
      </c>
      <c r="F37" s="150" t="s">
        <v>156</v>
      </c>
      <c r="G37" s="150" t="s">
        <v>165</v>
      </c>
      <c r="H37" s="150" t="s">
        <v>166</v>
      </c>
      <c r="I37" s="150" t="str">
        <f>Table1[[#This Row],[Wing]]&amp;-Table1[[#This Row],[Shop No / Office No. / Flat No.]]</f>
        <v>Shop-36</v>
      </c>
      <c r="J37" s="159">
        <f>50.13+61.64</f>
        <v>111.77000000000001</v>
      </c>
      <c r="K37" s="151">
        <f t="shared" si="0"/>
        <v>1203.0922800000001</v>
      </c>
      <c r="L37" s="152">
        <f>Table1[[#This Row],[RERA Carpet Area (Sq. Ft.)]]*1.1</f>
        <v>1323.4015080000001</v>
      </c>
      <c r="M37" s="153" t="s">
        <v>168</v>
      </c>
      <c r="N37" s="154" t="s">
        <v>168</v>
      </c>
      <c r="O37" s="154">
        <v>25345800</v>
      </c>
      <c r="P37" s="154">
        <v>19362856</v>
      </c>
      <c r="Q37" s="154">
        <f>Table1[[#This Row],[Agreement Value as per  Excel]]-Table1[[#This Row],[Amt Received as per Excel]]</f>
        <v>5982944</v>
      </c>
      <c r="R37" s="155">
        <f t="shared" si="1"/>
        <v>21067.211901650637</v>
      </c>
      <c r="S37" s="156"/>
      <c r="T37" s="156"/>
      <c r="U37" s="157"/>
    </row>
    <row r="38" spans="2:21" ht="33" hidden="1" x14ac:dyDescent="0.3">
      <c r="B38" s="148">
        <v>37</v>
      </c>
      <c r="C38" s="148" t="s">
        <v>156</v>
      </c>
      <c r="D38" s="149" t="s">
        <v>249</v>
      </c>
      <c r="E38" s="150">
        <v>37</v>
      </c>
      <c r="F38" s="150" t="s">
        <v>156</v>
      </c>
      <c r="G38" s="150" t="s">
        <v>165</v>
      </c>
      <c r="H38" s="150" t="s">
        <v>166</v>
      </c>
      <c r="I38" s="150" t="str">
        <f>Table1[[#This Row],[Wing]]&amp;-Table1[[#This Row],[Shop No / Office No. / Flat No.]]</f>
        <v>Shop-37</v>
      </c>
      <c r="J38" s="159">
        <f>45.9+62.94</f>
        <v>108.84</v>
      </c>
      <c r="K38" s="151">
        <f t="shared" si="0"/>
        <v>1171.55376</v>
      </c>
      <c r="L38" s="152">
        <f>Table1[[#This Row],[RERA Carpet Area (Sq. Ft.)]]*1.1</f>
        <v>1288.7091360000002</v>
      </c>
      <c r="M38" s="153" t="s">
        <v>168</v>
      </c>
      <c r="N38" s="154" t="s">
        <v>168</v>
      </c>
      <c r="O38" s="154">
        <v>24983000</v>
      </c>
      <c r="P38" s="154">
        <v>24135944</v>
      </c>
      <c r="Q38" s="154">
        <f>Table1[[#This Row],[Agreement Value as per  Excel]]-Table1[[#This Row],[Amt Received as per Excel]]</f>
        <v>847056</v>
      </c>
      <c r="R38" s="155">
        <f t="shared" si="1"/>
        <v>21324.672288192734</v>
      </c>
      <c r="S38" s="156"/>
      <c r="T38" s="156"/>
      <c r="U38" s="157"/>
    </row>
    <row r="39" spans="2:21" ht="33" hidden="1" x14ac:dyDescent="0.3">
      <c r="B39" s="148">
        <v>38</v>
      </c>
      <c r="C39" s="148" t="s">
        <v>156</v>
      </c>
      <c r="D39" s="149" t="s">
        <v>249</v>
      </c>
      <c r="E39" s="150">
        <v>38</v>
      </c>
      <c r="F39" s="150" t="s">
        <v>156</v>
      </c>
      <c r="G39" s="150" t="s">
        <v>165</v>
      </c>
      <c r="H39" s="150" t="s">
        <v>166</v>
      </c>
      <c r="I39" s="150" t="str">
        <f>Table1[[#This Row],[Wing]]&amp;-Table1[[#This Row],[Shop No / Office No. / Flat No.]]</f>
        <v>Shop-38</v>
      </c>
      <c r="J39" s="159">
        <f>61.2+80.26</f>
        <v>141.46</v>
      </c>
      <c r="K39" s="151">
        <f t="shared" si="0"/>
        <v>1522.67544</v>
      </c>
      <c r="L39" s="152">
        <f>Table1[[#This Row],[RERA Carpet Area (Sq. Ft.)]]*1.1</f>
        <v>1674.942984</v>
      </c>
      <c r="M39" s="153" t="s">
        <v>168</v>
      </c>
      <c r="N39" s="154" t="s">
        <v>168</v>
      </c>
      <c r="O39" s="154">
        <v>24370500</v>
      </c>
      <c r="P39" s="154">
        <v>15397364</v>
      </c>
      <c r="Q39" s="154">
        <f>Table1[[#This Row],[Agreement Value as per  Excel]]-Table1[[#This Row],[Amt Received as per Excel]]</f>
        <v>8973136</v>
      </c>
      <c r="R39" s="155">
        <f t="shared" si="1"/>
        <v>16005.052265110417</v>
      </c>
      <c r="S39" s="156"/>
      <c r="T39" s="156"/>
      <c r="U39" s="157"/>
    </row>
    <row r="40" spans="2:21" ht="33" hidden="1" x14ac:dyDescent="0.3">
      <c r="B40" s="148">
        <v>39</v>
      </c>
      <c r="C40" s="148" t="s">
        <v>156</v>
      </c>
      <c r="D40" s="149" t="s">
        <v>249</v>
      </c>
      <c r="E40" s="150">
        <v>39</v>
      </c>
      <c r="F40" s="150" t="s">
        <v>156</v>
      </c>
      <c r="G40" s="150" t="s">
        <v>165</v>
      </c>
      <c r="H40" s="150" t="s">
        <v>166</v>
      </c>
      <c r="I40" s="150" t="str">
        <f>Table1[[#This Row],[Wing]]&amp;-Table1[[#This Row],[Shop No / Office No. / Flat No.]]</f>
        <v>Shop-39</v>
      </c>
      <c r="J40" s="159">
        <f>35.6+35.13</f>
        <v>70.73</v>
      </c>
      <c r="K40" s="151">
        <f t="shared" si="0"/>
        <v>761.33771999999999</v>
      </c>
      <c r="L40" s="152">
        <f>Table1[[#This Row],[RERA Carpet Area (Sq. Ft.)]]*1.1</f>
        <v>837.47149200000001</v>
      </c>
      <c r="M40" s="153" t="s">
        <v>168</v>
      </c>
      <c r="N40" s="154" t="s">
        <v>168</v>
      </c>
      <c r="O40" s="154">
        <v>14998500</v>
      </c>
      <c r="P40" s="154">
        <v>11150000</v>
      </c>
      <c r="Q40" s="154">
        <f>Table1[[#This Row],[Agreement Value as per  Excel]]-Table1[[#This Row],[Amt Received as per Excel]]</f>
        <v>3848500</v>
      </c>
      <c r="R40" s="155">
        <f t="shared" si="1"/>
        <v>19700.19297086712</v>
      </c>
      <c r="S40" s="156"/>
      <c r="T40" s="156"/>
      <c r="U40" s="157"/>
    </row>
    <row r="41" spans="2:21" ht="33" hidden="1" x14ac:dyDescent="0.3">
      <c r="B41" s="148">
        <v>40</v>
      </c>
      <c r="C41" s="148" t="s">
        <v>156</v>
      </c>
      <c r="D41" s="149" t="s">
        <v>249</v>
      </c>
      <c r="E41" s="150">
        <v>40</v>
      </c>
      <c r="F41" s="150" t="s">
        <v>156</v>
      </c>
      <c r="G41" s="150" t="s">
        <v>165</v>
      </c>
      <c r="H41" s="150" t="s">
        <v>166</v>
      </c>
      <c r="I41" s="150" t="str">
        <f>Table1[[#This Row],[Wing]]&amp;-Table1[[#This Row],[Shop No / Office No. / Flat No.]]</f>
        <v>Shop-40</v>
      </c>
      <c r="J41" s="159">
        <f>33.65+33.22</f>
        <v>66.87</v>
      </c>
      <c r="K41" s="151">
        <f t="shared" si="0"/>
        <v>719.78868</v>
      </c>
      <c r="L41" s="152">
        <f>Table1[[#This Row],[RERA Carpet Area (Sq. Ft.)]]*1.1</f>
        <v>791.76754800000003</v>
      </c>
      <c r="M41" s="153" t="s">
        <v>168</v>
      </c>
      <c r="N41" s="154" t="s">
        <v>168</v>
      </c>
      <c r="O41" s="154">
        <v>11698500</v>
      </c>
      <c r="P41" s="154">
        <v>7615264</v>
      </c>
      <c r="Q41" s="154">
        <f>Table1[[#This Row],[Agreement Value as per  Excel]]-Table1[[#This Row],[Amt Received as per Excel]]</f>
        <v>4083236</v>
      </c>
      <c r="R41" s="155">
        <f t="shared" si="1"/>
        <v>16252.686830251345</v>
      </c>
      <c r="S41" s="156"/>
      <c r="T41" s="156"/>
      <c r="U41" s="157"/>
    </row>
    <row r="42" spans="2:21" ht="33" hidden="1" x14ac:dyDescent="0.3">
      <c r="B42" s="148">
        <v>41</v>
      </c>
      <c r="C42" s="148" t="s">
        <v>156</v>
      </c>
      <c r="D42" s="149" t="s">
        <v>249</v>
      </c>
      <c r="E42" s="150">
        <v>41</v>
      </c>
      <c r="F42" s="150" t="s">
        <v>156</v>
      </c>
      <c r="G42" s="150" t="s">
        <v>165</v>
      </c>
      <c r="H42" s="150" t="s">
        <v>166</v>
      </c>
      <c r="I42" s="150" t="str">
        <f>Table1[[#This Row],[Wing]]&amp;-Table1[[#This Row],[Shop No / Office No. / Flat No.]]</f>
        <v>Shop-41</v>
      </c>
      <c r="J42" s="159">
        <f>33.65+33.22</f>
        <v>66.87</v>
      </c>
      <c r="K42" s="151">
        <f t="shared" si="0"/>
        <v>719.78868</v>
      </c>
      <c r="L42" s="152">
        <f>Table1[[#This Row],[RERA Carpet Area (Sq. Ft.)]]*1.1</f>
        <v>791.76754800000003</v>
      </c>
      <c r="M42" s="153" t="s">
        <v>168</v>
      </c>
      <c r="N42" s="154" t="s">
        <v>168</v>
      </c>
      <c r="O42" s="154">
        <v>11698500</v>
      </c>
      <c r="P42" s="154">
        <v>7732250</v>
      </c>
      <c r="Q42" s="154">
        <f>Table1[[#This Row],[Agreement Value as per  Excel]]-Table1[[#This Row],[Amt Received as per Excel]]</f>
        <v>3966250</v>
      </c>
      <c r="R42" s="155">
        <f t="shared" si="1"/>
        <v>16252.686830251345</v>
      </c>
      <c r="S42" s="156"/>
      <c r="T42" s="156"/>
      <c r="U42" s="157"/>
    </row>
    <row r="43" spans="2:21" ht="33" hidden="1" x14ac:dyDescent="0.3">
      <c r="B43" s="148">
        <v>42</v>
      </c>
      <c r="C43" s="148" t="s">
        <v>156</v>
      </c>
      <c r="D43" s="149" t="s">
        <v>249</v>
      </c>
      <c r="E43" s="150">
        <v>42</v>
      </c>
      <c r="F43" s="150" t="s">
        <v>156</v>
      </c>
      <c r="G43" s="150" t="s">
        <v>165</v>
      </c>
      <c r="H43" s="150" t="s">
        <v>166</v>
      </c>
      <c r="I43" s="150" t="str">
        <f>Table1[[#This Row],[Wing]]&amp;-Table1[[#This Row],[Shop No / Office No. / Flat No.]]</f>
        <v>Shop-42</v>
      </c>
      <c r="J43" s="159">
        <f>34.58+37.13</f>
        <v>71.710000000000008</v>
      </c>
      <c r="K43" s="151">
        <f t="shared" si="0"/>
        <v>771.88643999999999</v>
      </c>
      <c r="L43" s="152">
        <f>Table1[[#This Row],[RERA Carpet Area (Sq. Ft.)]]*1.1</f>
        <v>849.07508400000006</v>
      </c>
      <c r="M43" s="153" t="s">
        <v>168</v>
      </c>
      <c r="N43" s="154" t="s">
        <v>168</v>
      </c>
      <c r="O43" s="154">
        <v>11566500</v>
      </c>
      <c r="P43" s="154">
        <v>7368570</v>
      </c>
      <c r="Q43" s="154">
        <f>Table1[[#This Row],[Agreement Value as per  Excel]]-Table1[[#This Row],[Amt Received as per Excel]]</f>
        <v>4197930</v>
      </c>
      <c r="R43" s="155">
        <f t="shared" si="1"/>
        <v>14984.717181973037</v>
      </c>
      <c r="S43" s="156"/>
      <c r="T43" s="156"/>
      <c r="U43" s="157"/>
    </row>
    <row r="44" spans="2:21" ht="33" hidden="1" x14ac:dyDescent="0.3">
      <c r="B44" s="148">
        <v>43</v>
      </c>
      <c r="C44" s="148" t="s">
        <v>156</v>
      </c>
      <c r="D44" s="149" t="s">
        <v>249</v>
      </c>
      <c r="E44" s="150">
        <v>43</v>
      </c>
      <c r="F44" s="150" t="s">
        <v>156</v>
      </c>
      <c r="G44" s="150" t="s">
        <v>165</v>
      </c>
      <c r="H44" s="150" t="s">
        <v>166</v>
      </c>
      <c r="I44" s="150" t="str">
        <f>Table1[[#This Row],[Wing]]&amp;-Table1[[#This Row],[Shop No / Office No. / Flat No.]]</f>
        <v>Shop-43</v>
      </c>
      <c r="J44" s="159">
        <f>51.81+129.57</f>
        <v>181.38</v>
      </c>
      <c r="K44" s="151">
        <f t="shared" si="0"/>
        <v>1952.3743199999999</v>
      </c>
      <c r="L44" s="152">
        <f>Table1[[#This Row],[RERA Carpet Area (Sq. Ft.)]]*1.1</f>
        <v>2147.6117520000003</v>
      </c>
      <c r="M44" s="153" t="s">
        <v>168</v>
      </c>
      <c r="N44" s="154" t="s">
        <v>168</v>
      </c>
      <c r="O44" s="154">
        <v>31568000</v>
      </c>
      <c r="P44" s="154">
        <v>5889115</v>
      </c>
      <c r="Q44" s="154">
        <f>Table1[[#This Row],[Agreement Value as per  Excel]]-Table1[[#This Row],[Amt Received as per Excel]]</f>
        <v>25678885</v>
      </c>
      <c r="R44" s="155">
        <f t="shared" si="1"/>
        <v>16169.030537135934</v>
      </c>
      <c r="S44" s="156"/>
      <c r="T44" s="156"/>
      <c r="U44" s="157"/>
    </row>
    <row r="45" spans="2:21" hidden="1" x14ac:dyDescent="0.3">
      <c r="B45" s="148">
        <v>44</v>
      </c>
      <c r="C45" s="148" t="s">
        <v>157</v>
      </c>
      <c r="D45" s="149" t="s">
        <v>248</v>
      </c>
      <c r="E45" s="150">
        <v>101</v>
      </c>
      <c r="F45" s="150" t="s">
        <v>157</v>
      </c>
      <c r="G45" s="150" t="s">
        <v>165</v>
      </c>
      <c r="H45" s="150" t="s">
        <v>166</v>
      </c>
      <c r="I45" s="150" t="str">
        <f>Table1[[#This Row],[Wing]]&amp;-Table1[[#This Row],[Shop No / Office No. / Flat No.]]</f>
        <v>Office-101</v>
      </c>
      <c r="J45" s="159">
        <v>119.85</v>
      </c>
      <c r="K45" s="151">
        <f t="shared" si="0"/>
        <v>1290.0654</v>
      </c>
      <c r="L45" s="152">
        <f>Table1[[#This Row],[RERA Carpet Area (Sq. Ft.)]]*1.1</f>
        <v>1419.07194</v>
      </c>
      <c r="M45" s="153" t="s">
        <v>168</v>
      </c>
      <c r="N45" s="154" t="s">
        <v>168</v>
      </c>
      <c r="O45" s="154">
        <v>19920000</v>
      </c>
      <c r="P45" s="154">
        <v>11758398</v>
      </c>
      <c r="Q45" s="154">
        <f>Table1[[#This Row],[Agreement Value as per  Excel]]-Table1[[#This Row],[Amt Received as per Excel]]</f>
        <v>8161602</v>
      </c>
      <c r="R45" s="155">
        <f t="shared" si="1"/>
        <v>15441.077638389495</v>
      </c>
      <c r="S45" s="156"/>
      <c r="T45" s="156"/>
      <c r="U45" s="157"/>
    </row>
    <row r="46" spans="2:21" hidden="1" x14ac:dyDescent="0.3">
      <c r="B46" s="148">
        <v>45</v>
      </c>
      <c r="C46" s="148" t="s">
        <v>157</v>
      </c>
      <c r="D46" s="149" t="s">
        <v>248</v>
      </c>
      <c r="E46" s="150">
        <v>102</v>
      </c>
      <c r="F46" s="150" t="s">
        <v>157</v>
      </c>
      <c r="G46" s="150" t="s">
        <v>165</v>
      </c>
      <c r="H46" s="150" t="s">
        <v>166</v>
      </c>
      <c r="I46" s="150" t="str">
        <f>Table1[[#This Row],[Wing]]&amp;-Table1[[#This Row],[Shop No / Office No. / Flat No.]]</f>
        <v>Office-102</v>
      </c>
      <c r="J46" s="159">
        <v>45</v>
      </c>
      <c r="K46" s="151">
        <f t="shared" si="0"/>
        <v>484.38</v>
      </c>
      <c r="L46" s="152">
        <f>Table1[[#This Row],[RERA Carpet Area (Sq. Ft.)]]*1.1</f>
        <v>532.81799999999998</v>
      </c>
      <c r="M46" s="153" t="s">
        <v>168</v>
      </c>
      <c r="N46" s="154" t="s">
        <v>168</v>
      </c>
      <c r="O46" s="154">
        <v>7722000</v>
      </c>
      <c r="P46" s="154">
        <v>5800000</v>
      </c>
      <c r="Q46" s="154">
        <f>Table1[[#This Row],[Agreement Value as per  Excel]]-Table1[[#This Row],[Amt Received as per Excel]]</f>
        <v>1922000</v>
      </c>
      <c r="R46" s="155">
        <f t="shared" si="1"/>
        <v>15942.028985507246</v>
      </c>
      <c r="S46" s="156"/>
      <c r="T46" s="156"/>
      <c r="U46" s="157"/>
    </row>
    <row r="47" spans="2:21" hidden="1" x14ac:dyDescent="0.3">
      <c r="B47" s="148">
        <v>46</v>
      </c>
      <c r="C47" s="148" t="s">
        <v>157</v>
      </c>
      <c r="D47" s="149" t="s">
        <v>248</v>
      </c>
      <c r="E47" s="150">
        <v>103</v>
      </c>
      <c r="F47" s="150" t="s">
        <v>157</v>
      </c>
      <c r="G47" s="150" t="s">
        <v>165</v>
      </c>
      <c r="H47" s="150" t="s">
        <v>166</v>
      </c>
      <c r="I47" s="150" t="str">
        <f>Table1[[#This Row],[Wing]]&amp;-Table1[[#This Row],[Shop No / Office No. / Flat No.]]</f>
        <v>Office-103</v>
      </c>
      <c r="J47" s="159">
        <v>44.97</v>
      </c>
      <c r="K47" s="151">
        <f t="shared" si="0"/>
        <v>484.05707999999998</v>
      </c>
      <c r="L47" s="152">
        <f>Table1[[#This Row],[RERA Carpet Area (Sq. Ft.)]]*1.1</f>
        <v>532.46278800000005</v>
      </c>
      <c r="M47" s="153" t="s">
        <v>168</v>
      </c>
      <c r="N47" s="154" t="s">
        <v>168</v>
      </c>
      <c r="O47" s="154">
        <v>7837500</v>
      </c>
      <c r="P47" s="154">
        <v>6348375</v>
      </c>
      <c r="Q47" s="154">
        <f>Table1[[#This Row],[Agreement Value as per  Excel]]-Table1[[#This Row],[Amt Received as per Excel]]</f>
        <v>1489125</v>
      </c>
      <c r="R47" s="155">
        <f t="shared" si="1"/>
        <v>16191.272318545574</v>
      </c>
      <c r="S47" s="156"/>
      <c r="T47" s="156"/>
      <c r="U47" s="157"/>
    </row>
    <row r="48" spans="2:21" hidden="1" x14ac:dyDescent="0.3">
      <c r="B48" s="148">
        <v>47</v>
      </c>
      <c r="C48" s="148" t="s">
        <v>157</v>
      </c>
      <c r="D48" s="149" t="s">
        <v>248</v>
      </c>
      <c r="E48" s="150">
        <v>104</v>
      </c>
      <c r="F48" s="150" t="s">
        <v>157</v>
      </c>
      <c r="G48" s="150" t="s">
        <v>165</v>
      </c>
      <c r="H48" s="150" t="s">
        <v>166</v>
      </c>
      <c r="I48" s="150" t="str">
        <f>Table1[[#This Row],[Wing]]&amp;-Table1[[#This Row],[Shop No / Office No. / Flat No.]]</f>
        <v>Office-104</v>
      </c>
      <c r="J48" s="159">
        <v>37.200000000000003</v>
      </c>
      <c r="K48" s="151">
        <f t="shared" si="0"/>
        <v>400.42079999999999</v>
      </c>
      <c r="L48" s="152">
        <f>Table1[[#This Row],[RERA Carpet Area (Sq. Ft.)]]*1.1</f>
        <v>440.46288000000004</v>
      </c>
      <c r="M48" s="153" t="s">
        <v>168</v>
      </c>
      <c r="N48" s="154" t="s">
        <v>168</v>
      </c>
      <c r="O48" s="154">
        <v>6286500</v>
      </c>
      <c r="P48" s="154">
        <v>4487770</v>
      </c>
      <c r="Q48" s="154">
        <f>Table1[[#This Row],[Agreement Value as per  Excel]]-Table1[[#This Row],[Amt Received as per Excel]]</f>
        <v>1798730</v>
      </c>
      <c r="R48" s="155">
        <f t="shared" si="1"/>
        <v>15699.733879958285</v>
      </c>
      <c r="S48" s="156"/>
      <c r="T48" s="156"/>
      <c r="U48" s="157"/>
    </row>
    <row r="49" spans="2:21" hidden="1" x14ac:dyDescent="0.3">
      <c r="B49" s="148">
        <v>48</v>
      </c>
      <c r="C49" s="148" t="s">
        <v>157</v>
      </c>
      <c r="D49" s="149" t="s">
        <v>248</v>
      </c>
      <c r="E49" s="150">
        <v>105</v>
      </c>
      <c r="F49" s="150" t="s">
        <v>157</v>
      </c>
      <c r="G49" s="150" t="s">
        <v>165</v>
      </c>
      <c r="H49" s="150" t="s">
        <v>166</v>
      </c>
      <c r="I49" s="150" t="str">
        <f>Table1[[#This Row],[Wing]]&amp;-Table1[[#This Row],[Shop No / Office No. / Flat No.]]</f>
        <v>Office-105</v>
      </c>
      <c r="J49" s="151">
        <v>72.099999999999994</v>
      </c>
      <c r="K49" s="151">
        <f t="shared" si="0"/>
        <v>776.08439999999985</v>
      </c>
      <c r="L49" s="152">
        <f>Table1[[#This Row],[RERA Carpet Area (Sq. Ft.)]]*1.1</f>
        <v>853.69283999999993</v>
      </c>
      <c r="M49" s="153" t="s">
        <v>167</v>
      </c>
      <c r="N49" s="154" t="s">
        <v>167</v>
      </c>
      <c r="O49" s="154"/>
      <c r="P49" s="154"/>
      <c r="Q49" s="154">
        <f>Table1[[#This Row],[Agreement Value as per  Excel]]-Table1[[#This Row],[Amt Received as per Excel]]</f>
        <v>0</v>
      </c>
      <c r="R49" s="155">
        <f t="shared" si="1"/>
        <v>0</v>
      </c>
      <c r="S49" s="156"/>
      <c r="T49" s="156"/>
      <c r="U49" s="157"/>
    </row>
    <row r="50" spans="2:21" hidden="1" x14ac:dyDescent="0.3">
      <c r="B50" s="148">
        <v>49</v>
      </c>
      <c r="C50" s="148" t="s">
        <v>157</v>
      </c>
      <c r="D50" s="149" t="s">
        <v>248</v>
      </c>
      <c r="E50" s="150">
        <v>106</v>
      </c>
      <c r="F50" s="150" t="s">
        <v>157</v>
      </c>
      <c r="G50" s="150" t="s">
        <v>165</v>
      </c>
      <c r="H50" s="150" t="s">
        <v>166</v>
      </c>
      <c r="I50" s="150" t="str">
        <f>Table1[[#This Row],[Wing]]&amp;-Table1[[#This Row],[Shop No / Office No. / Flat No.]]</f>
        <v>Office-106</v>
      </c>
      <c r="J50" s="151">
        <v>35.450000000000003</v>
      </c>
      <c r="K50" s="151">
        <f t="shared" si="0"/>
        <v>381.5838</v>
      </c>
      <c r="L50" s="152">
        <f>Table1[[#This Row],[RERA Carpet Area (Sq. Ft.)]]*1.1</f>
        <v>419.74218000000002</v>
      </c>
      <c r="M50" s="153" t="s">
        <v>167</v>
      </c>
      <c r="N50" s="154" t="s">
        <v>261</v>
      </c>
      <c r="O50" s="154"/>
      <c r="P50" s="154"/>
      <c r="Q50" s="154">
        <f>Table1[[#This Row],[Agreement Value as per  Excel]]-Table1[[#This Row],[Amt Received as per Excel]]</f>
        <v>0</v>
      </c>
      <c r="R50" s="155">
        <f t="shared" si="1"/>
        <v>0</v>
      </c>
      <c r="S50" s="156"/>
      <c r="T50" s="156"/>
      <c r="U50" s="157"/>
    </row>
    <row r="51" spans="2:21" hidden="1" x14ac:dyDescent="0.3">
      <c r="B51" s="148">
        <v>50</v>
      </c>
      <c r="C51" s="148" t="s">
        <v>157</v>
      </c>
      <c r="D51" s="149" t="s">
        <v>248</v>
      </c>
      <c r="E51" s="150">
        <v>107</v>
      </c>
      <c r="F51" s="150" t="s">
        <v>157</v>
      </c>
      <c r="G51" s="150" t="s">
        <v>165</v>
      </c>
      <c r="H51" s="150" t="s">
        <v>166</v>
      </c>
      <c r="I51" s="150" t="str">
        <f>Table1[[#This Row],[Wing]]&amp;-Table1[[#This Row],[Shop No / Office No. / Flat No.]]</f>
        <v>Office-107</v>
      </c>
      <c r="J51" s="151">
        <v>42.77</v>
      </c>
      <c r="K51" s="151">
        <f t="shared" si="0"/>
        <v>460.37628000000001</v>
      </c>
      <c r="L51" s="152">
        <f>Table1[[#This Row],[RERA Carpet Area (Sq. Ft.)]]*1.1</f>
        <v>506.41390800000005</v>
      </c>
      <c r="M51" s="153" t="s">
        <v>167</v>
      </c>
      <c r="N51" s="154" t="s">
        <v>168</v>
      </c>
      <c r="O51" s="154">
        <v>8697000</v>
      </c>
      <c r="P51" s="154">
        <v>404410</v>
      </c>
      <c r="Q51" s="154">
        <f>Table1[[#This Row],[Agreement Value as per  Excel]]-Table1[[#This Row],[Amt Received as per Excel]]</f>
        <v>8292590</v>
      </c>
      <c r="R51" s="155">
        <f t="shared" si="1"/>
        <v>18891.068844815374</v>
      </c>
      <c r="S51" s="156"/>
      <c r="T51" s="156"/>
      <c r="U51" s="157"/>
    </row>
    <row r="52" spans="2:21" hidden="1" x14ac:dyDescent="0.3">
      <c r="B52" s="148">
        <v>51</v>
      </c>
      <c r="C52" s="148" t="s">
        <v>157</v>
      </c>
      <c r="D52" s="149" t="s">
        <v>248</v>
      </c>
      <c r="E52" s="150">
        <v>108</v>
      </c>
      <c r="F52" s="150" t="s">
        <v>157</v>
      </c>
      <c r="G52" s="150" t="s">
        <v>165</v>
      </c>
      <c r="H52" s="150" t="s">
        <v>166</v>
      </c>
      <c r="I52" s="150" t="str">
        <f>Table1[[#This Row],[Wing]]&amp;-Table1[[#This Row],[Shop No / Office No. / Flat No.]]</f>
        <v>Office-108</v>
      </c>
      <c r="J52" s="151">
        <v>35.799999999999997</v>
      </c>
      <c r="K52" s="151">
        <f t="shared" si="0"/>
        <v>385.35119999999995</v>
      </c>
      <c r="L52" s="152">
        <f>Table1[[#This Row],[RERA Carpet Area (Sq. Ft.)]]*1.1</f>
        <v>423.88631999999996</v>
      </c>
      <c r="M52" s="153" t="s">
        <v>167</v>
      </c>
      <c r="N52" s="154" t="s">
        <v>168</v>
      </c>
      <c r="O52" s="154">
        <v>6121500</v>
      </c>
      <c r="P52" s="154">
        <v>2521500</v>
      </c>
      <c r="Q52" s="154">
        <f>Table1[[#This Row],[Agreement Value as per  Excel]]-Table1[[#This Row],[Amt Received as per Excel]]</f>
        <v>3600000</v>
      </c>
      <c r="R52" s="155">
        <f t="shared" si="1"/>
        <v>15885.509114802291</v>
      </c>
      <c r="S52" s="156"/>
      <c r="T52" s="156"/>
      <c r="U52" s="157"/>
    </row>
    <row r="53" spans="2:21" hidden="1" x14ac:dyDescent="0.3">
      <c r="B53" s="148">
        <v>52</v>
      </c>
      <c r="C53" s="148" t="s">
        <v>157</v>
      </c>
      <c r="D53" s="149" t="s">
        <v>248</v>
      </c>
      <c r="E53" s="150">
        <v>109</v>
      </c>
      <c r="F53" s="150" t="s">
        <v>157</v>
      </c>
      <c r="G53" s="150" t="s">
        <v>165</v>
      </c>
      <c r="H53" s="150" t="s">
        <v>166</v>
      </c>
      <c r="I53" s="150" t="str">
        <f>Table1[[#This Row],[Wing]]&amp;-Table1[[#This Row],[Shop No / Office No. / Flat No.]]</f>
        <v>Office-109</v>
      </c>
      <c r="J53" s="151">
        <v>108.75</v>
      </c>
      <c r="K53" s="151">
        <f t="shared" si="0"/>
        <v>1170.585</v>
      </c>
      <c r="L53" s="152">
        <f>Table1[[#This Row],[RERA Carpet Area (Sq. Ft.)]]*1.1</f>
        <v>1287.6435000000001</v>
      </c>
      <c r="M53" s="153" t="s">
        <v>167</v>
      </c>
      <c r="N53" s="154" t="s">
        <v>261</v>
      </c>
      <c r="O53" s="154"/>
      <c r="P53" s="154"/>
      <c r="Q53" s="154">
        <f>Table1[[#This Row],[Agreement Value as per  Excel]]-Table1[[#This Row],[Amt Received as per Excel]]</f>
        <v>0</v>
      </c>
      <c r="R53" s="155">
        <f t="shared" si="1"/>
        <v>0</v>
      </c>
      <c r="S53" s="156"/>
      <c r="T53" s="156"/>
      <c r="U53" s="157"/>
    </row>
    <row r="54" spans="2:21" hidden="1" x14ac:dyDescent="0.3">
      <c r="B54" s="148">
        <v>53</v>
      </c>
      <c r="C54" s="148" t="s">
        <v>157</v>
      </c>
      <c r="D54" s="149" t="s">
        <v>248</v>
      </c>
      <c r="E54" s="150">
        <v>110</v>
      </c>
      <c r="F54" s="150" t="s">
        <v>157</v>
      </c>
      <c r="G54" s="150" t="s">
        <v>165</v>
      </c>
      <c r="H54" s="150" t="s">
        <v>166</v>
      </c>
      <c r="I54" s="150" t="str">
        <f>Table1[[#This Row],[Wing]]&amp;-Table1[[#This Row],[Shop No / Office No. / Flat No.]]</f>
        <v>Office-110</v>
      </c>
      <c r="J54" s="159">
        <v>85.7</v>
      </c>
      <c r="K54" s="151">
        <f t="shared" si="0"/>
        <v>922.47479999999996</v>
      </c>
      <c r="L54" s="152">
        <f>Table1[[#This Row],[RERA Carpet Area (Sq. Ft.)]]*1.1</f>
        <v>1014.7222800000001</v>
      </c>
      <c r="M54" s="153" t="s">
        <v>168</v>
      </c>
      <c r="N54" s="154" t="s">
        <v>168</v>
      </c>
      <c r="O54" s="154">
        <v>15500000</v>
      </c>
      <c r="P54" s="154">
        <v>2475000</v>
      </c>
      <c r="Q54" s="154">
        <f>Table1[[#This Row],[Agreement Value as per  Excel]]-Table1[[#This Row],[Amt Received as per Excel]]</f>
        <v>13025000</v>
      </c>
      <c r="R54" s="155">
        <f t="shared" si="1"/>
        <v>16802.62702027199</v>
      </c>
      <c r="S54" s="156"/>
      <c r="T54" s="156"/>
      <c r="U54" s="157"/>
    </row>
    <row r="55" spans="2:21" hidden="1" x14ac:dyDescent="0.3">
      <c r="B55" s="148">
        <v>54</v>
      </c>
      <c r="C55" s="148" t="s">
        <v>157</v>
      </c>
      <c r="D55" s="149" t="s">
        <v>248</v>
      </c>
      <c r="E55" s="150">
        <v>111</v>
      </c>
      <c r="F55" s="150" t="s">
        <v>157</v>
      </c>
      <c r="G55" s="150" t="s">
        <v>165</v>
      </c>
      <c r="H55" s="150" t="s">
        <v>166</v>
      </c>
      <c r="I55" s="150" t="str">
        <f>Table1[[#This Row],[Wing]]&amp;-Table1[[#This Row],[Shop No / Office No. / Flat No.]]</f>
        <v>Office-111</v>
      </c>
      <c r="J55" s="159">
        <v>85.42</v>
      </c>
      <c r="K55" s="151">
        <f t="shared" si="0"/>
        <v>919.46087999999997</v>
      </c>
      <c r="L55" s="152">
        <f>Table1[[#This Row],[RERA Carpet Area (Sq. Ft.)]]*1.1</f>
        <v>1011.406968</v>
      </c>
      <c r="M55" s="153" t="s">
        <v>168</v>
      </c>
      <c r="N55" s="154" t="s">
        <v>168</v>
      </c>
      <c r="O55" s="154">
        <v>10912000</v>
      </c>
      <c r="P55" s="154">
        <v>100000</v>
      </c>
      <c r="Q55" s="154">
        <f>Table1[[#This Row],[Agreement Value as per  Excel]]-Table1[[#This Row],[Amt Received as per Excel]]</f>
        <v>10812000</v>
      </c>
      <c r="R55" s="155">
        <f t="shared" si="1"/>
        <v>11867.824110145937</v>
      </c>
      <c r="S55" s="156"/>
      <c r="T55" s="156"/>
      <c r="U55" s="157"/>
    </row>
    <row r="56" spans="2:21" hidden="1" x14ac:dyDescent="0.3">
      <c r="B56" s="148">
        <v>55</v>
      </c>
      <c r="C56" s="148" t="s">
        <v>157</v>
      </c>
      <c r="D56" s="149" t="s">
        <v>248</v>
      </c>
      <c r="E56" s="150">
        <v>112</v>
      </c>
      <c r="F56" s="150" t="s">
        <v>157</v>
      </c>
      <c r="G56" s="150" t="s">
        <v>165</v>
      </c>
      <c r="H56" s="150" t="s">
        <v>166</v>
      </c>
      <c r="I56" s="150" t="str">
        <f>Table1[[#This Row],[Wing]]&amp;-Table1[[#This Row],[Shop No / Office No. / Flat No.]]</f>
        <v>Office-112</v>
      </c>
      <c r="J56" s="159">
        <v>134.05000000000001</v>
      </c>
      <c r="K56" s="151">
        <f t="shared" si="0"/>
        <v>1442.9141999999999</v>
      </c>
      <c r="L56" s="152">
        <f>Table1[[#This Row],[RERA Carpet Area (Sq. Ft.)]]*1.1</f>
        <v>1587.20562</v>
      </c>
      <c r="M56" s="153" t="s">
        <v>168</v>
      </c>
      <c r="N56" s="154" t="s">
        <v>168</v>
      </c>
      <c r="O56" s="154">
        <v>23328000</v>
      </c>
      <c r="P56" s="154">
        <v>100000</v>
      </c>
      <c r="Q56" s="154">
        <f>Table1[[#This Row],[Agreement Value as per  Excel]]-Table1[[#This Row],[Amt Received as per Excel]]</f>
        <v>23228000</v>
      </c>
      <c r="R56" s="155">
        <f t="shared" si="1"/>
        <v>16167.281464136953</v>
      </c>
      <c r="S56" s="156"/>
      <c r="T56" s="156"/>
      <c r="U56" s="157"/>
    </row>
    <row r="57" spans="2:21" hidden="1" x14ac:dyDescent="0.3">
      <c r="B57" s="148">
        <v>56</v>
      </c>
      <c r="C57" s="148" t="s">
        <v>157</v>
      </c>
      <c r="D57" s="149" t="s">
        <v>248</v>
      </c>
      <c r="E57" s="150">
        <v>113</v>
      </c>
      <c r="F57" s="150" t="s">
        <v>157</v>
      </c>
      <c r="G57" s="150" t="s">
        <v>165</v>
      </c>
      <c r="H57" s="150" t="s">
        <v>166</v>
      </c>
      <c r="I57" s="150" t="str">
        <f>Table1[[#This Row],[Wing]]&amp;-Table1[[#This Row],[Shop No / Office No. / Flat No.]]</f>
        <v>Office-113</v>
      </c>
      <c r="J57" s="159">
        <v>73.66</v>
      </c>
      <c r="K57" s="151">
        <f t="shared" si="0"/>
        <v>792.87623999999994</v>
      </c>
      <c r="L57" s="152">
        <f>Table1[[#This Row],[RERA Carpet Area (Sq. Ft.)]]*1.1</f>
        <v>872.16386399999999</v>
      </c>
      <c r="M57" s="153" t="s">
        <v>168</v>
      </c>
      <c r="N57" s="154" t="s">
        <v>168</v>
      </c>
      <c r="O57" s="154">
        <v>11640000</v>
      </c>
      <c r="P57" s="154">
        <v>11640000</v>
      </c>
      <c r="Q57" s="154">
        <f>Table1[[#This Row],[Agreement Value as per  Excel]]-Table1[[#This Row],[Amt Received as per Excel]]</f>
        <v>0</v>
      </c>
      <c r="R57" s="155">
        <f t="shared" si="1"/>
        <v>14680.72747393717</v>
      </c>
      <c r="S57" s="156"/>
      <c r="T57" s="156"/>
      <c r="U57" s="157"/>
    </row>
    <row r="58" spans="2:21" hidden="1" x14ac:dyDescent="0.3">
      <c r="B58" s="148"/>
      <c r="C58" s="148" t="s">
        <v>157</v>
      </c>
      <c r="D58" s="149" t="s">
        <v>250</v>
      </c>
      <c r="E58" s="150">
        <v>201</v>
      </c>
      <c r="F58" s="150" t="s">
        <v>157</v>
      </c>
      <c r="G58" s="150" t="s">
        <v>165</v>
      </c>
      <c r="H58" s="150" t="s">
        <v>166</v>
      </c>
      <c r="I58" s="150" t="str">
        <f>Table1[[#This Row],[Wing]]&amp;-Table1[[#This Row],[Shop No / Office No. / Flat No.]]</f>
        <v>Office-201</v>
      </c>
      <c r="J58" s="151">
        <v>119.45</v>
      </c>
      <c r="K58" s="151">
        <f t="shared" si="0"/>
        <v>1285.7598</v>
      </c>
      <c r="L58" s="152">
        <f>Table1[[#This Row],[RERA Carpet Area (Sq. Ft.)]]*1.1</f>
        <v>1414.3357800000001</v>
      </c>
      <c r="M58" s="152" t="s">
        <v>167</v>
      </c>
      <c r="N58" s="152" t="s">
        <v>167</v>
      </c>
      <c r="O58" s="152"/>
      <c r="P58" s="154"/>
      <c r="Q58" s="154">
        <f>Table1[[#This Row],[Agreement Value as per  Excel]]-Table1[[#This Row],[Amt Received as per Excel]]</f>
        <v>0</v>
      </c>
      <c r="R58" s="155">
        <f t="shared" si="1"/>
        <v>0</v>
      </c>
      <c r="S58" s="160"/>
      <c r="T58" s="161"/>
      <c r="U58" s="157"/>
    </row>
    <row r="59" spans="2:21" hidden="1" x14ac:dyDescent="0.3">
      <c r="B59" s="148"/>
      <c r="C59" s="148" t="s">
        <v>157</v>
      </c>
      <c r="D59" s="149" t="s">
        <v>250</v>
      </c>
      <c r="E59" s="150">
        <v>202</v>
      </c>
      <c r="F59" s="150" t="s">
        <v>157</v>
      </c>
      <c r="G59" s="150" t="s">
        <v>165</v>
      </c>
      <c r="H59" s="150" t="s">
        <v>166</v>
      </c>
      <c r="I59" s="150" t="str">
        <f>Table1[[#This Row],[Wing]]&amp;-Table1[[#This Row],[Shop No / Office No. / Flat No.]]</f>
        <v>Office-202</v>
      </c>
      <c r="J59" s="159">
        <v>45</v>
      </c>
      <c r="K59" s="151">
        <f t="shared" si="0"/>
        <v>484.38</v>
      </c>
      <c r="L59" s="152">
        <f>Table1[[#This Row],[RERA Carpet Area (Sq. Ft.)]]*1.1</f>
        <v>532.81799999999998</v>
      </c>
      <c r="M59" s="152" t="s">
        <v>168</v>
      </c>
      <c r="N59" s="152" t="s">
        <v>168</v>
      </c>
      <c r="O59" s="152">
        <v>11750000</v>
      </c>
      <c r="P59" s="154">
        <v>7150000</v>
      </c>
      <c r="Q59" s="154">
        <f>Table1[[#This Row],[Agreement Value as per  Excel]]-Table1[[#This Row],[Amt Received as per Excel]]</f>
        <v>4600000</v>
      </c>
      <c r="R59" s="155">
        <f t="shared" si="1"/>
        <v>24257.814112886575</v>
      </c>
      <c r="S59" s="160"/>
      <c r="T59" s="161"/>
      <c r="U59" s="157"/>
    </row>
    <row r="60" spans="2:21" hidden="1" x14ac:dyDescent="0.3">
      <c r="B60" s="148"/>
      <c r="C60" s="148" t="s">
        <v>157</v>
      </c>
      <c r="D60" s="149" t="s">
        <v>250</v>
      </c>
      <c r="E60" s="150">
        <v>203</v>
      </c>
      <c r="F60" s="150" t="s">
        <v>157</v>
      </c>
      <c r="G60" s="150" t="s">
        <v>165</v>
      </c>
      <c r="H60" s="150" t="s">
        <v>166</v>
      </c>
      <c r="I60" s="150" t="str">
        <f>Table1[[#This Row],[Wing]]&amp;-Table1[[#This Row],[Shop No / Office No. / Flat No.]]</f>
        <v>Office-203</v>
      </c>
      <c r="J60" s="151">
        <v>44.97</v>
      </c>
      <c r="K60" s="151">
        <f t="shared" si="0"/>
        <v>484.05707999999998</v>
      </c>
      <c r="L60" s="152">
        <f>Table1[[#This Row],[RERA Carpet Area (Sq. Ft.)]]*1.1</f>
        <v>532.46278800000005</v>
      </c>
      <c r="M60" s="152" t="s">
        <v>167</v>
      </c>
      <c r="N60" s="152" t="s">
        <v>168</v>
      </c>
      <c r="O60" s="152">
        <v>7500000</v>
      </c>
      <c r="P60" s="154">
        <v>200000</v>
      </c>
      <c r="Q60" s="154">
        <f>Table1[[#This Row],[Agreement Value as per  Excel]]-Table1[[#This Row],[Amt Received as per Excel]]</f>
        <v>7300000</v>
      </c>
      <c r="R60" s="155">
        <f t="shared" si="1"/>
        <v>15494.040496215859</v>
      </c>
      <c r="S60" s="160"/>
      <c r="T60" s="161"/>
      <c r="U60" s="157"/>
    </row>
    <row r="61" spans="2:21" hidden="1" x14ac:dyDescent="0.3">
      <c r="B61" s="148"/>
      <c r="C61" s="148" t="s">
        <v>157</v>
      </c>
      <c r="D61" s="149" t="s">
        <v>250</v>
      </c>
      <c r="E61" s="150">
        <v>204</v>
      </c>
      <c r="F61" s="150" t="s">
        <v>157</v>
      </c>
      <c r="G61" s="150" t="s">
        <v>165</v>
      </c>
      <c r="H61" s="150" t="s">
        <v>166</v>
      </c>
      <c r="I61" s="150" t="str">
        <f>Table1[[#This Row],[Wing]]&amp;-Table1[[#This Row],[Shop No / Office No. / Flat No.]]</f>
        <v>Office-204</v>
      </c>
      <c r="J61" s="159">
        <v>68.36</v>
      </c>
      <c r="K61" s="151">
        <f t="shared" si="0"/>
        <v>735.8270399999999</v>
      </c>
      <c r="L61" s="152">
        <f>Table1[[#This Row],[RERA Carpet Area (Sq. Ft.)]]*1.1</f>
        <v>809.40974399999993</v>
      </c>
      <c r="M61" s="152" t="s">
        <v>168</v>
      </c>
      <c r="N61" s="152" t="s">
        <v>168</v>
      </c>
      <c r="O61" s="152">
        <v>11025000</v>
      </c>
      <c r="P61" s="154">
        <v>0</v>
      </c>
      <c r="Q61" s="154">
        <f>Table1[[#This Row],[Agreement Value as per  Excel]]-Table1[[#This Row],[Amt Received as per Excel]]</f>
        <v>11025000</v>
      </c>
      <c r="R61" s="155">
        <f t="shared" si="1"/>
        <v>14983.140603259159</v>
      </c>
      <c r="S61" s="160"/>
      <c r="T61" s="161"/>
      <c r="U61" s="157"/>
    </row>
    <row r="62" spans="2:21" hidden="1" x14ac:dyDescent="0.3">
      <c r="B62" s="148"/>
      <c r="C62" s="148" t="s">
        <v>157</v>
      </c>
      <c r="D62" s="149" t="s">
        <v>250</v>
      </c>
      <c r="E62" s="150">
        <v>205</v>
      </c>
      <c r="F62" s="150" t="s">
        <v>157</v>
      </c>
      <c r="G62" s="150" t="s">
        <v>165</v>
      </c>
      <c r="H62" s="150" t="s">
        <v>166</v>
      </c>
      <c r="I62" s="150" t="str">
        <f>Table1[[#This Row],[Wing]]&amp;-Table1[[#This Row],[Shop No / Office No. / Flat No.]]</f>
        <v>Office-205</v>
      </c>
      <c r="J62" s="159">
        <v>66.45</v>
      </c>
      <c r="K62" s="151">
        <f t="shared" si="0"/>
        <v>715.26779999999997</v>
      </c>
      <c r="L62" s="152">
        <f>Table1[[#This Row],[RERA Carpet Area (Sq. Ft.)]]*1.1</f>
        <v>786.79458</v>
      </c>
      <c r="M62" s="152" t="s">
        <v>168</v>
      </c>
      <c r="N62" s="152" t="s">
        <v>168</v>
      </c>
      <c r="O62" s="152">
        <v>17787000</v>
      </c>
      <c r="P62" s="154">
        <v>10412075</v>
      </c>
      <c r="Q62" s="154">
        <f>Table1[[#This Row],[Agreement Value as per  Excel]]-Table1[[#This Row],[Amt Received as per Excel]]</f>
        <v>7374925</v>
      </c>
      <c r="R62" s="155">
        <f t="shared" si="1"/>
        <v>24867.609026996604</v>
      </c>
      <c r="S62" s="160"/>
      <c r="T62" s="161"/>
      <c r="U62" s="157"/>
    </row>
    <row r="63" spans="2:21" hidden="1" x14ac:dyDescent="0.3">
      <c r="B63" s="148"/>
      <c r="C63" s="148" t="s">
        <v>157</v>
      </c>
      <c r="D63" s="149" t="s">
        <v>250</v>
      </c>
      <c r="E63" s="150">
        <v>206</v>
      </c>
      <c r="F63" s="150" t="s">
        <v>157</v>
      </c>
      <c r="G63" s="150" t="s">
        <v>165</v>
      </c>
      <c r="H63" s="150" t="s">
        <v>166</v>
      </c>
      <c r="I63" s="150" t="str">
        <f>Table1[[#This Row],[Wing]]&amp;-Table1[[#This Row],[Shop No / Office No. / Flat No.]]</f>
        <v>Office-206</v>
      </c>
      <c r="J63" s="151">
        <v>35.6</v>
      </c>
      <c r="K63" s="151">
        <f t="shared" si="0"/>
        <v>383.19839999999999</v>
      </c>
      <c r="L63" s="152">
        <f>Table1[[#This Row],[RERA Carpet Area (Sq. Ft.)]]*1.1</f>
        <v>421.51824000000005</v>
      </c>
      <c r="M63" s="152" t="s">
        <v>167</v>
      </c>
      <c r="N63" s="152" t="s">
        <v>168</v>
      </c>
      <c r="O63" s="152">
        <v>6144000</v>
      </c>
      <c r="P63" s="154">
        <v>79961</v>
      </c>
      <c r="Q63" s="154">
        <f>Table1[[#This Row],[Agreement Value as per  Excel]]-Table1[[#This Row],[Amt Received as per Excel]]</f>
        <v>6064039</v>
      </c>
      <c r="R63" s="155">
        <f t="shared" si="1"/>
        <v>16033.469868350181</v>
      </c>
      <c r="S63" s="160"/>
      <c r="T63" s="161"/>
      <c r="U63" s="157"/>
    </row>
    <row r="64" spans="2:21" hidden="1" x14ac:dyDescent="0.3">
      <c r="B64" s="148"/>
      <c r="C64" s="148" t="s">
        <v>157</v>
      </c>
      <c r="D64" s="149" t="s">
        <v>250</v>
      </c>
      <c r="E64" s="150">
        <v>207</v>
      </c>
      <c r="F64" s="150" t="s">
        <v>157</v>
      </c>
      <c r="G64" s="150" t="s">
        <v>165</v>
      </c>
      <c r="H64" s="150" t="s">
        <v>166</v>
      </c>
      <c r="I64" s="150" t="str">
        <f>Table1[[#This Row],[Wing]]&amp;-Table1[[#This Row],[Shop No / Office No. / Flat No.]]</f>
        <v>Office-207</v>
      </c>
      <c r="J64" s="151">
        <v>42.95</v>
      </c>
      <c r="K64" s="151">
        <f t="shared" si="0"/>
        <v>462.31380000000001</v>
      </c>
      <c r="L64" s="152">
        <f>Table1[[#This Row],[RERA Carpet Area (Sq. Ft.)]]*1.1</f>
        <v>508.54518000000007</v>
      </c>
      <c r="M64" s="152" t="s">
        <v>167</v>
      </c>
      <c r="N64" s="152" t="s">
        <v>168</v>
      </c>
      <c r="O64" s="152">
        <v>10417000</v>
      </c>
      <c r="P64" s="154">
        <v>135220</v>
      </c>
      <c r="Q64" s="154">
        <f>Table1[[#This Row],[Agreement Value as per  Excel]]-Table1[[#This Row],[Amt Received as per Excel]]</f>
        <v>10281780</v>
      </c>
      <c r="R64" s="155">
        <f t="shared" si="1"/>
        <v>22532.314631317517</v>
      </c>
      <c r="S64" s="160"/>
      <c r="T64" s="161"/>
      <c r="U64" s="157"/>
    </row>
    <row r="65" spans="2:21" hidden="1" x14ac:dyDescent="0.3">
      <c r="B65" s="148"/>
      <c r="C65" s="148" t="s">
        <v>157</v>
      </c>
      <c r="D65" s="149" t="s">
        <v>250</v>
      </c>
      <c r="E65" s="150">
        <v>208</v>
      </c>
      <c r="F65" s="150" t="s">
        <v>157</v>
      </c>
      <c r="G65" s="150" t="s">
        <v>165</v>
      </c>
      <c r="H65" s="150" t="s">
        <v>166</v>
      </c>
      <c r="I65" s="150" t="str">
        <f>Table1[[#This Row],[Wing]]&amp;-Table1[[#This Row],[Shop No / Office No. / Flat No.]]</f>
        <v>Office-208</v>
      </c>
      <c r="J65" s="151">
        <v>35.950000000000003</v>
      </c>
      <c r="K65" s="151">
        <f t="shared" si="0"/>
        <v>386.9658</v>
      </c>
      <c r="L65" s="152">
        <f>Table1[[#This Row],[RERA Carpet Area (Sq. Ft.)]]*1.1</f>
        <v>425.66238000000004</v>
      </c>
      <c r="M65" s="152" t="s">
        <v>167</v>
      </c>
      <c r="N65" s="152" t="s">
        <v>167</v>
      </c>
      <c r="O65" s="152"/>
      <c r="P65" s="154"/>
      <c r="Q65" s="154">
        <f>Table1[[#This Row],[Agreement Value as per  Excel]]-Table1[[#This Row],[Amt Received as per Excel]]</f>
        <v>0</v>
      </c>
      <c r="R65" s="155">
        <f t="shared" si="1"/>
        <v>0</v>
      </c>
      <c r="S65" s="160"/>
      <c r="T65" s="161"/>
      <c r="U65" s="157"/>
    </row>
    <row r="66" spans="2:21" hidden="1" x14ac:dyDescent="0.3">
      <c r="B66" s="148"/>
      <c r="C66" s="148" t="s">
        <v>157</v>
      </c>
      <c r="D66" s="149" t="s">
        <v>250</v>
      </c>
      <c r="E66" s="150">
        <v>209</v>
      </c>
      <c r="F66" s="150" t="s">
        <v>157</v>
      </c>
      <c r="G66" s="150" t="s">
        <v>165</v>
      </c>
      <c r="H66" s="150" t="s">
        <v>166</v>
      </c>
      <c r="I66" s="150" t="str">
        <f>Table1[[#This Row],[Wing]]&amp;-Table1[[#This Row],[Shop No / Office No. / Flat No.]]</f>
        <v>Office-209</v>
      </c>
      <c r="J66" s="151">
        <v>108.75</v>
      </c>
      <c r="K66" s="151">
        <f t="shared" si="0"/>
        <v>1170.585</v>
      </c>
      <c r="L66" s="152">
        <f>Table1[[#This Row],[RERA Carpet Area (Sq. Ft.)]]*1.1</f>
        <v>1287.6435000000001</v>
      </c>
      <c r="M66" s="152" t="s">
        <v>167</v>
      </c>
      <c r="N66" s="152" t="s">
        <v>168</v>
      </c>
      <c r="O66" s="152">
        <v>32367500</v>
      </c>
      <c r="P66" s="154">
        <v>100000</v>
      </c>
      <c r="Q66" s="154">
        <f>Table1[[#This Row],[Agreement Value as per  Excel]]-Table1[[#This Row],[Amt Received as per Excel]]</f>
        <v>32267500</v>
      </c>
      <c r="R66" s="155">
        <f t="shared" si="1"/>
        <v>27650.704562248789</v>
      </c>
      <c r="S66" s="160"/>
      <c r="T66" s="161"/>
      <c r="U66" s="157"/>
    </row>
    <row r="67" spans="2:21" hidden="1" x14ac:dyDescent="0.3">
      <c r="B67" s="148"/>
      <c r="C67" s="148" t="s">
        <v>157</v>
      </c>
      <c r="D67" s="149" t="s">
        <v>250</v>
      </c>
      <c r="E67" s="150">
        <v>210</v>
      </c>
      <c r="F67" s="150" t="s">
        <v>157</v>
      </c>
      <c r="G67" s="150" t="s">
        <v>165</v>
      </c>
      <c r="H67" s="150" t="s">
        <v>166</v>
      </c>
      <c r="I67" s="150" t="str">
        <f>Table1[[#This Row],[Wing]]&amp;-Table1[[#This Row],[Shop No / Office No. / Flat No.]]</f>
        <v>Office-210</v>
      </c>
      <c r="J67" s="151">
        <v>118.52</v>
      </c>
      <c r="K67" s="151">
        <f t="shared" si="0"/>
        <v>1275.7492799999998</v>
      </c>
      <c r="L67" s="152">
        <f>Table1[[#This Row],[RERA Carpet Area (Sq. Ft.)]]*1.1</f>
        <v>1403.3242079999998</v>
      </c>
      <c r="M67" s="152" t="s">
        <v>167</v>
      </c>
      <c r="N67" s="152" t="s">
        <v>168</v>
      </c>
      <c r="O67" s="152">
        <v>35667500</v>
      </c>
      <c r="P67" s="154">
        <v>100000</v>
      </c>
      <c r="Q67" s="154">
        <f>Table1[[#This Row],[Agreement Value as per  Excel]]-Table1[[#This Row],[Amt Received as per Excel]]</f>
        <v>35567500</v>
      </c>
      <c r="R67" s="155">
        <f t="shared" ref="R67:R130" si="2">IFERROR(O67/K67,0)</f>
        <v>27958.079662800206</v>
      </c>
      <c r="S67" s="160"/>
      <c r="T67" s="161"/>
      <c r="U67" s="157"/>
    </row>
    <row r="68" spans="2:21" hidden="1" x14ac:dyDescent="0.3">
      <c r="B68" s="148"/>
      <c r="C68" s="148" t="s">
        <v>157</v>
      </c>
      <c r="D68" s="149" t="s">
        <v>250</v>
      </c>
      <c r="E68" s="150">
        <v>211</v>
      </c>
      <c r="F68" s="150" t="s">
        <v>157</v>
      </c>
      <c r="G68" s="150" t="s">
        <v>165</v>
      </c>
      <c r="H68" s="150" t="s">
        <v>166</v>
      </c>
      <c r="I68" s="150" t="str">
        <f>Table1[[#This Row],[Wing]]&amp;-Table1[[#This Row],[Shop No / Office No. / Flat No.]]</f>
        <v>Office-211</v>
      </c>
      <c r="J68" s="151">
        <v>65.42</v>
      </c>
      <c r="K68" s="151">
        <f t="shared" si="0"/>
        <v>704.18088</v>
      </c>
      <c r="L68" s="152">
        <f>Table1[[#This Row],[RERA Carpet Area (Sq. Ft.)]]*1.1</f>
        <v>774.59896800000001</v>
      </c>
      <c r="M68" s="152" t="s">
        <v>167</v>
      </c>
      <c r="N68" s="152" t="s">
        <v>167</v>
      </c>
      <c r="O68" s="152"/>
      <c r="P68" s="154"/>
      <c r="Q68" s="154">
        <f>Table1[[#This Row],[Agreement Value as per  Excel]]-Table1[[#This Row],[Amt Received as per Excel]]</f>
        <v>0</v>
      </c>
      <c r="R68" s="155">
        <f t="shared" si="2"/>
        <v>0</v>
      </c>
      <c r="S68" s="160"/>
      <c r="T68" s="161"/>
      <c r="U68" s="157"/>
    </row>
    <row r="69" spans="2:21" hidden="1" x14ac:dyDescent="0.3">
      <c r="B69" s="148"/>
      <c r="C69" s="148" t="s">
        <v>157</v>
      </c>
      <c r="D69" s="149" t="s">
        <v>250</v>
      </c>
      <c r="E69" s="150">
        <v>212</v>
      </c>
      <c r="F69" s="150" t="s">
        <v>157</v>
      </c>
      <c r="G69" s="150" t="s">
        <v>165</v>
      </c>
      <c r="H69" s="150" t="s">
        <v>166</v>
      </c>
      <c r="I69" s="150" t="str">
        <f>Table1[[#This Row],[Wing]]&amp;-Table1[[#This Row],[Shop No / Office No. / Flat No.]]</f>
        <v>Office-212</v>
      </c>
      <c r="J69" s="151">
        <v>134.05000000000001</v>
      </c>
      <c r="K69" s="151">
        <f t="shared" si="0"/>
        <v>1442.9141999999999</v>
      </c>
      <c r="L69" s="152">
        <f>Table1[[#This Row],[RERA Carpet Area (Sq. Ft.)]]*1.1</f>
        <v>1587.20562</v>
      </c>
      <c r="M69" s="152" t="s">
        <v>167</v>
      </c>
      <c r="N69" s="152" t="s">
        <v>261</v>
      </c>
      <c r="O69" s="152"/>
      <c r="P69" s="154"/>
      <c r="Q69" s="154">
        <f>Table1[[#This Row],[Agreement Value as per  Excel]]-Table1[[#This Row],[Amt Received as per Excel]]</f>
        <v>0</v>
      </c>
      <c r="R69" s="155">
        <f t="shared" si="2"/>
        <v>0</v>
      </c>
      <c r="S69" s="160"/>
      <c r="T69" s="161"/>
      <c r="U69" s="157"/>
    </row>
    <row r="70" spans="2:21" hidden="1" x14ac:dyDescent="0.3">
      <c r="B70" s="148"/>
      <c r="C70" s="148" t="s">
        <v>157</v>
      </c>
      <c r="D70" s="149" t="s">
        <v>250</v>
      </c>
      <c r="E70" s="150">
        <v>213</v>
      </c>
      <c r="F70" s="150" t="s">
        <v>157</v>
      </c>
      <c r="G70" s="150" t="s">
        <v>165</v>
      </c>
      <c r="H70" s="150" t="s">
        <v>166</v>
      </c>
      <c r="I70" s="150" t="str">
        <f>Table1[[#This Row],[Wing]]&amp;-Table1[[#This Row],[Shop No / Office No. / Flat No.]]</f>
        <v>Office-213</v>
      </c>
      <c r="J70" s="151">
        <v>73.66</v>
      </c>
      <c r="K70" s="151">
        <f t="shared" si="0"/>
        <v>792.87623999999994</v>
      </c>
      <c r="L70" s="152">
        <f>Table1[[#This Row],[RERA Carpet Area (Sq. Ft.)]]*1.1</f>
        <v>872.16386399999999</v>
      </c>
      <c r="M70" s="152" t="s">
        <v>167</v>
      </c>
      <c r="N70" s="152" t="s">
        <v>261</v>
      </c>
      <c r="O70" s="152"/>
      <c r="P70" s="154"/>
      <c r="Q70" s="154">
        <f>Table1[[#This Row],[Agreement Value as per  Excel]]-Table1[[#This Row],[Amt Received as per Excel]]</f>
        <v>0</v>
      </c>
      <c r="R70" s="155">
        <f t="shared" si="2"/>
        <v>0</v>
      </c>
      <c r="S70" s="160"/>
      <c r="T70" s="161"/>
      <c r="U70" s="157"/>
    </row>
    <row r="71" spans="2:21" hidden="1" x14ac:dyDescent="0.3">
      <c r="B71" s="148"/>
      <c r="C71" s="148" t="s">
        <v>157</v>
      </c>
      <c r="D71" s="149" t="s">
        <v>250</v>
      </c>
      <c r="E71" s="150">
        <v>214</v>
      </c>
      <c r="F71" s="150" t="s">
        <v>157</v>
      </c>
      <c r="G71" s="150" t="s">
        <v>165</v>
      </c>
      <c r="H71" s="150" t="s">
        <v>166</v>
      </c>
      <c r="I71" s="150" t="str">
        <f>Table1[[#This Row],[Wing]]&amp;-Table1[[#This Row],[Shop No / Office No. / Flat No.]]</f>
        <v>Office-214</v>
      </c>
      <c r="J71" s="159">
        <v>60.98</v>
      </c>
      <c r="K71" s="151">
        <f t="shared" si="0"/>
        <v>656.38871999999992</v>
      </c>
      <c r="L71" s="152">
        <f>Table1[[#This Row],[RERA Carpet Area (Sq. Ft.)]]*1.1</f>
        <v>722.02759200000003</v>
      </c>
      <c r="M71" s="152" t="s">
        <v>168</v>
      </c>
      <c r="N71" s="152" t="s">
        <v>168</v>
      </c>
      <c r="O71" s="152">
        <v>10330000</v>
      </c>
      <c r="P71" s="154">
        <v>3031277</v>
      </c>
      <c r="Q71" s="154">
        <f>Table1[[#This Row],[Agreement Value as per  Excel]]-Table1[[#This Row],[Amt Received as per Excel]]</f>
        <v>7298723</v>
      </c>
      <c r="R71" s="155">
        <f t="shared" si="2"/>
        <v>15737.62571666375</v>
      </c>
      <c r="S71" s="160"/>
      <c r="T71" s="161"/>
      <c r="U71" s="157"/>
    </row>
    <row r="72" spans="2:21" hidden="1" x14ac:dyDescent="0.3">
      <c r="B72" s="148"/>
      <c r="C72" s="148" t="s">
        <v>157</v>
      </c>
      <c r="D72" s="149" t="s">
        <v>250</v>
      </c>
      <c r="E72" s="150">
        <v>215</v>
      </c>
      <c r="F72" s="150" t="s">
        <v>157</v>
      </c>
      <c r="G72" s="150" t="s">
        <v>165</v>
      </c>
      <c r="H72" s="150" t="s">
        <v>166</v>
      </c>
      <c r="I72" s="150" t="str">
        <f>Table1[[#This Row],[Wing]]&amp;-Table1[[#This Row],[Shop No / Office No. / Flat No.]]</f>
        <v>Office-215</v>
      </c>
      <c r="J72" s="159">
        <v>52.24</v>
      </c>
      <c r="K72" s="151">
        <f t="shared" si="0"/>
        <v>562.31136000000004</v>
      </c>
      <c r="L72" s="152">
        <f>Table1[[#This Row],[RERA Carpet Area (Sq. Ft.)]]*1.1</f>
        <v>618.54249600000014</v>
      </c>
      <c r="M72" s="152" t="s">
        <v>168</v>
      </c>
      <c r="N72" s="152" t="s">
        <v>168</v>
      </c>
      <c r="O72" s="152">
        <v>9114500</v>
      </c>
      <c r="P72" s="154">
        <v>3822355</v>
      </c>
      <c r="Q72" s="154">
        <f>Table1[[#This Row],[Agreement Value as per  Excel]]-Table1[[#This Row],[Amt Received as per Excel]]</f>
        <v>5292145</v>
      </c>
      <c r="R72" s="155">
        <f t="shared" si="2"/>
        <v>16208.991402912436</v>
      </c>
      <c r="S72" s="160"/>
      <c r="T72" s="161"/>
      <c r="U72" s="157"/>
    </row>
    <row r="73" spans="2:21" hidden="1" x14ac:dyDescent="0.3">
      <c r="B73" s="148"/>
      <c r="C73" s="148" t="s">
        <v>157</v>
      </c>
      <c r="D73" s="149" t="s">
        <v>250</v>
      </c>
      <c r="E73" s="150">
        <v>216</v>
      </c>
      <c r="F73" s="150" t="s">
        <v>157</v>
      </c>
      <c r="G73" s="150" t="s">
        <v>165</v>
      </c>
      <c r="H73" s="150" t="s">
        <v>166</v>
      </c>
      <c r="I73" s="150" t="str">
        <f>Table1[[#This Row],[Wing]]&amp;-Table1[[#This Row],[Shop No / Office No. / Flat No.]]</f>
        <v>Office-216</v>
      </c>
      <c r="J73" s="151">
        <v>88.09</v>
      </c>
      <c r="K73" s="151">
        <f t="shared" si="0"/>
        <v>948.20075999999995</v>
      </c>
      <c r="L73" s="152">
        <f>Table1[[#This Row],[RERA Carpet Area (Sq. Ft.)]]*1.1</f>
        <v>1043.0208359999999</v>
      </c>
      <c r="M73" s="152" t="s">
        <v>167</v>
      </c>
      <c r="N73" s="152" t="s">
        <v>261</v>
      </c>
      <c r="O73" s="152"/>
      <c r="P73" s="154"/>
      <c r="Q73" s="154">
        <f>Table1[[#This Row],[Agreement Value as per  Excel]]-Table1[[#This Row],[Amt Received as per Excel]]</f>
        <v>0</v>
      </c>
      <c r="R73" s="155">
        <f t="shared" si="2"/>
        <v>0</v>
      </c>
      <c r="S73" s="160"/>
      <c r="T73" s="161"/>
      <c r="U73" s="157"/>
    </row>
    <row r="74" spans="2:21" hidden="1" x14ac:dyDescent="0.3">
      <c r="B74" s="148"/>
      <c r="C74" s="148" t="s">
        <v>157</v>
      </c>
      <c r="D74" s="149" t="s">
        <v>250</v>
      </c>
      <c r="E74" s="150">
        <v>217</v>
      </c>
      <c r="F74" s="150" t="s">
        <v>157</v>
      </c>
      <c r="G74" s="150" t="s">
        <v>165</v>
      </c>
      <c r="H74" s="150" t="s">
        <v>166</v>
      </c>
      <c r="I74" s="150" t="str">
        <f>Table1[[#This Row],[Wing]]&amp;-Table1[[#This Row],[Shop No / Office No. / Flat No.]]</f>
        <v>Office-217</v>
      </c>
      <c r="J74" s="151">
        <v>72.25</v>
      </c>
      <c r="K74" s="151">
        <f t="shared" si="0"/>
        <v>777.69899999999996</v>
      </c>
      <c r="L74" s="152">
        <f>Table1[[#This Row],[RERA Carpet Area (Sq. Ft.)]]*1.1</f>
        <v>855.46890000000008</v>
      </c>
      <c r="M74" s="152" t="s">
        <v>167</v>
      </c>
      <c r="N74" s="152" t="s">
        <v>168</v>
      </c>
      <c r="O74" s="152">
        <v>18729500</v>
      </c>
      <c r="P74" s="154">
        <v>1000000</v>
      </c>
      <c r="Q74" s="154">
        <f>Table1[[#This Row],[Agreement Value as per  Excel]]-Table1[[#This Row],[Amt Received as per Excel]]</f>
        <v>17729500</v>
      </c>
      <c r="R74" s="155">
        <f t="shared" si="2"/>
        <v>24083.225000932238</v>
      </c>
      <c r="S74" s="160"/>
      <c r="T74" s="161"/>
      <c r="U74" s="157"/>
    </row>
    <row r="75" spans="2:21" hidden="1" x14ac:dyDescent="0.3">
      <c r="B75" s="148"/>
      <c r="C75" s="148" t="s">
        <v>157</v>
      </c>
      <c r="D75" s="149" t="s">
        <v>250</v>
      </c>
      <c r="E75" s="150">
        <v>218</v>
      </c>
      <c r="F75" s="150" t="s">
        <v>157</v>
      </c>
      <c r="G75" s="150" t="s">
        <v>165</v>
      </c>
      <c r="H75" s="150" t="s">
        <v>166</v>
      </c>
      <c r="I75" s="150" t="str">
        <f>Table1[[#This Row],[Wing]]&amp;-Table1[[#This Row],[Shop No / Office No. / Flat No.]]</f>
        <v>Office-218</v>
      </c>
      <c r="J75" s="159">
        <v>27.3</v>
      </c>
      <c r="K75" s="151">
        <f t="shared" si="0"/>
        <v>293.85719999999998</v>
      </c>
      <c r="L75" s="152">
        <f>Table1[[#This Row],[RERA Carpet Area (Sq. Ft.)]]*1.1</f>
        <v>323.24292000000003</v>
      </c>
      <c r="M75" s="152" t="s">
        <v>168</v>
      </c>
      <c r="N75" s="152" t="s">
        <v>168</v>
      </c>
      <c r="O75" s="152">
        <v>4976000</v>
      </c>
      <c r="P75" s="154">
        <v>3176000</v>
      </c>
      <c r="Q75" s="154">
        <f>Table1[[#This Row],[Agreement Value as per  Excel]]-Table1[[#This Row],[Amt Received as per Excel]]</f>
        <v>1800000</v>
      </c>
      <c r="R75" s="155">
        <f t="shared" si="2"/>
        <v>16933.394859816264</v>
      </c>
      <c r="S75" s="160"/>
      <c r="T75" s="161"/>
      <c r="U75" s="157"/>
    </row>
    <row r="76" spans="2:21" hidden="1" x14ac:dyDescent="0.3">
      <c r="B76" s="148"/>
      <c r="C76" s="148" t="s">
        <v>157</v>
      </c>
      <c r="D76" s="149" t="s">
        <v>250</v>
      </c>
      <c r="E76" s="150">
        <v>219</v>
      </c>
      <c r="F76" s="150" t="s">
        <v>157</v>
      </c>
      <c r="G76" s="150" t="s">
        <v>165</v>
      </c>
      <c r="H76" s="150" t="s">
        <v>166</v>
      </c>
      <c r="I76" s="150" t="str">
        <f>Table1[[#This Row],[Wing]]&amp;-Table1[[#This Row],[Shop No / Office No. / Flat No.]]</f>
        <v>Office-219</v>
      </c>
      <c r="J76" s="159">
        <v>23.84</v>
      </c>
      <c r="K76" s="151">
        <f t="shared" si="0"/>
        <v>256.61375999999996</v>
      </c>
      <c r="L76" s="152">
        <f>Table1[[#This Row],[RERA Carpet Area (Sq. Ft.)]]*1.1</f>
        <v>282.27513599999997</v>
      </c>
      <c r="M76" s="152" t="s">
        <v>168</v>
      </c>
      <c r="N76" s="152" t="s">
        <v>168</v>
      </c>
      <c r="O76" s="152">
        <v>4320000</v>
      </c>
      <c r="P76" s="154">
        <v>3320000</v>
      </c>
      <c r="Q76" s="154">
        <f>Table1[[#This Row],[Agreement Value as per  Excel]]-Table1[[#This Row],[Amt Received as per Excel]]</f>
        <v>1000000</v>
      </c>
      <c r="R76" s="155">
        <f t="shared" si="2"/>
        <v>16834.638953109923</v>
      </c>
      <c r="S76" s="160"/>
      <c r="T76" s="161"/>
      <c r="U76" s="157"/>
    </row>
    <row r="77" spans="2:21" hidden="1" x14ac:dyDescent="0.3">
      <c r="B77" s="148"/>
      <c r="C77" s="148" t="s">
        <v>157</v>
      </c>
      <c r="D77" s="149" t="s">
        <v>250</v>
      </c>
      <c r="E77" s="150">
        <v>220</v>
      </c>
      <c r="F77" s="150" t="s">
        <v>157</v>
      </c>
      <c r="G77" s="150" t="s">
        <v>165</v>
      </c>
      <c r="H77" s="150" t="s">
        <v>166</v>
      </c>
      <c r="I77" s="150" t="str">
        <f>Table1[[#This Row],[Wing]]&amp;-Table1[[#This Row],[Shop No / Office No. / Flat No.]]</f>
        <v>Office-220</v>
      </c>
      <c r="J77" s="151">
        <v>286.22000000000003</v>
      </c>
      <c r="K77" s="151">
        <f t="shared" si="0"/>
        <v>3080.8720800000001</v>
      </c>
      <c r="L77" s="152">
        <f>Table1[[#This Row],[RERA Carpet Area (Sq. Ft.)]]*1.1</f>
        <v>3388.9592880000005</v>
      </c>
      <c r="M77" s="152" t="s">
        <v>167</v>
      </c>
      <c r="N77" s="152" t="s">
        <v>261</v>
      </c>
      <c r="O77" s="152"/>
      <c r="P77" s="154"/>
      <c r="Q77" s="154">
        <f>Table1[[#This Row],[Agreement Value as per  Excel]]-Table1[[#This Row],[Amt Received as per Excel]]</f>
        <v>0</v>
      </c>
      <c r="R77" s="155">
        <f t="shared" si="2"/>
        <v>0</v>
      </c>
      <c r="S77" s="160"/>
      <c r="T77" s="161"/>
      <c r="U77" s="157"/>
    </row>
    <row r="78" spans="2:21" hidden="1" x14ac:dyDescent="0.3">
      <c r="B78" s="148"/>
      <c r="C78" s="148" t="s">
        <v>157</v>
      </c>
      <c r="D78" s="149" t="s">
        <v>250</v>
      </c>
      <c r="E78" s="150">
        <v>221</v>
      </c>
      <c r="F78" s="150" t="s">
        <v>157</v>
      </c>
      <c r="G78" s="150" t="s">
        <v>165</v>
      </c>
      <c r="H78" s="150" t="s">
        <v>166</v>
      </c>
      <c r="I78" s="150" t="str">
        <f>Table1[[#This Row],[Wing]]&amp;-Table1[[#This Row],[Shop No / Office No. / Flat No.]]</f>
        <v>Office-221</v>
      </c>
      <c r="J78" s="151">
        <v>283.49</v>
      </c>
      <c r="K78" s="151">
        <f t="shared" si="0"/>
        <v>3051.4863599999999</v>
      </c>
      <c r="L78" s="152">
        <f>Table1[[#This Row],[RERA Carpet Area (Sq. Ft.)]]*1.1</f>
        <v>3356.6349960000002</v>
      </c>
      <c r="M78" s="152" t="s">
        <v>167</v>
      </c>
      <c r="N78" s="152" t="s">
        <v>261</v>
      </c>
      <c r="O78" s="152"/>
      <c r="P78" s="154"/>
      <c r="Q78" s="154">
        <f>Table1[[#This Row],[Agreement Value as per  Excel]]-Table1[[#This Row],[Amt Received as per Excel]]</f>
        <v>0</v>
      </c>
      <c r="R78" s="155">
        <f t="shared" si="2"/>
        <v>0</v>
      </c>
      <c r="S78" s="160"/>
      <c r="T78" s="161"/>
      <c r="U78" s="157"/>
    </row>
    <row r="79" spans="2:21" hidden="1" x14ac:dyDescent="0.3">
      <c r="B79" s="148"/>
      <c r="C79" s="148" t="s">
        <v>157</v>
      </c>
      <c r="D79" s="149" t="s">
        <v>250</v>
      </c>
      <c r="E79" s="150">
        <v>222</v>
      </c>
      <c r="F79" s="150" t="s">
        <v>157</v>
      </c>
      <c r="G79" s="150" t="s">
        <v>165</v>
      </c>
      <c r="H79" s="150" t="s">
        <v>166</v>
      </c>
      <c r="I79" s="150" t="str">
        <f>Table1[[#This Row],[Wing]]&amp;-Table1[[#This Row],[Shop No / Office No. / Flat No.]]</f>
        <v>Office-222</v>
      </c>
      <c r="J79" s="151">
        <v>27.55</v>
      </c>
      <c r="K79" s="151">
        <f t="shared" si="0"/>
        <v>296.54820000000001</v>
      </c>
      <c r="L79" s="152">
        <f>Table1[[#This Row],[RERA Carpet Area (Sq. Ft.)]]*1.1</f>
        <v>326.20302000000004</v>
      </c>
      <c r="M79" s="152" t="s">
        <v>167</v>
      </c>
      <c r="N79" s="152" t="s">
        <v>261</v>
      </c>
      <c r="O79" s="152"/>
      <c r="P79" s="154"/>
      <c r="Q79" s="154">
        <f>Table1[[#This Row],[Agreement Value as per  Excel]]-Table1[[#This Row],[Amt Received as per Excel]]</f>
        <v>0</v>
      </c>
      <c r="R79" s="155">
        <f t="shared" si="2"/>
        <v>0</v>
      </c>
      <c r="S79" s="160"/>
      <c r="T79" s="161"/>
      <c r="U79" s="157"/>
    </row>
    <row r="80" spans="2:21" hidden="1" x14ac:dyDescent="0.3">
      <c r="B80" s="148"/>
      <c r="C80" s="148" t="s">
        <v>157</v>
      </c>
      <c r="D80" s="149" t="s">
        <v>250</v>
      </c>
      <c r="E80" s="150">
        <v>223</v>
      </c>
      <c r="F80" s="150" t="s">
        <v>157</v>
      </c>
      <c r="G80" s="150" t="s">
        <v>165</v>
      </c>
      <c r="H80" s="150" t="s">
        <v>166</v>
      </c>
      <c r="I80" s="150" t="str">
        <f>Table1[[#This Row],[Wing]]&amp;-Table1[[#This Row],[Shop No / Office No. / Flat No.]]</f>
        <v>Office-223</v>
      </c>
      <c r="J80" s="151">
        <v>23.35</v>
      </c>
      <c r="K80" s="151">
        <f t="shared" si="0"/>
        <v>251.33940000000001</v>
      </c>
      <c r="L80" s="152">
        <f>Table1[[#This Row],[RERA Carpet Area (Sq. Ft.)]]*1.1</f>
        <v>276.47334000000001</v>
      </c>
      <c r="M80" s="152" t="s">
        <v>167</v>
      </c>
      <c r="N80" s="152" t="s">
        <v>261</v>
      </c>
      <c r="O80" s="152"/>
      <c r="P80" s="154"/>
      <c r="Q80" s="154">
        <f>Table1[[#This Row],[Agreement Value as per  Excel]]-Table1[[#This Row],[Amt Received as per Excel]]</f>
        <v>0</v>
      </c>
      <c r="R80" s="155">
        <f t="shared" si="2"/>
        <v>0</v>
      </c>
      <c r="S80" s="160"/>
      <c r="T80" s="161"/>
      <c r="U80" s="157"/>
    </row>
    <row r="81" spans="2:21" hidden="1" x14ac:dyDescent="0.3">
      <c r="B81" s="148"/>
      <c r="C81" s="148" t="s">
        <v>157</v>
      </c>
      <c r="D81" s="149" t="s">
        <v>250</v>
      </c>
      <c r="E81" s="150">
        <v>224</v>
      </c>
      <c r="F81" s="150" t="s">
        <v>157</v>
      </c>
      <c r="G81" s="150" t="s">
        <v>165</v>
      </c>
      <c r="H81" s="150" t="s">
        <v>166</v>
      </c>
      <c r="I81" s="150" t="str">
        <f>Table1[[#This Row],[Wing]]&amp;-Table1[[#This Row],[Shop No / Office No. / Flat No.]]</f>
        <v>Office-224</v>
      </c>
      <c r="J81" s="151">
        <v>30.18</v>
      </c>
      <c r="K81" s="151">
        <f t="shared" si="0"/>
        <v>324.85751999999997</v>
      </c>
      <c r="L81" s="152">
        <f>Table1[[#This Row],[RERA Carpet Area (Sq. Ft.)]]*1.1</f>
        <v>357.34327200000001</v>
      </c>
      <c r="M81" s="152" t="s">
        <v>167</v>
      </c>
      <c r="N81" s="152" t="s">
        <v>168</v>
      </c>
      <c r="O81" s="152">
        <v>7943000</v>
      </c>
      <c r="P81" s="154">
        <v>2100000</v>
      </c>
      <c r="Q81" s="154">
        <f>Table1[[#This Row],[Agreement Value as per  Excel]]-Table1[[#This Row],[Amt Received as per Excel]]</f>
        <v>5843000</v>
      </c>
      <c r="R81" s="155">
        <f t="shared" si="2"/>
        <v>24450.71919529522</v>
      </c>
      <c r="S81" s="160"/>
      <c r="T81" s="161"/>
      <c r="U81" s="157"/>
    </row>
    <row r="82" spans="2:21" hidden="1" x14ac:dyDescent="0.3">
      <c r="B82" s="148"/>
      <c r="C82" s="148" t="s">
        <v>157</v>
      </c>
      <c r="D82" s="149" t="s">
        <v>250</v>
      </c>
      <c r="E82" s="150" t="s">
        <v>262</v>
      </c>
      <c r="F82" s="150" t="s">
        <v>157</v>
      </c>
      <c r="G82" s="150" t="s">
        <v>165</v>
      </c>
      <c r="H82" s="150" t="s">
        <v>166</v>
      </c>
      <c r="I82" s="150" t="e">
        <f>Table1[[#This Row],[Wing]]&amp;-Table1[[#This Row],[Shop No / Office No. / Flat No.]]</f>
        <v>#VALUE!</v>
      </c>
      <c r="J82" s="151">
        <v>139.35</v>
      </c>
      <c r="K82" s="151">
        <f t="shared" si="0"/>
        <v>1499.9633999999999</v>
      </c>
      <c r="L82" s="152">
        <f>Table1[[#This Row],[RERA Carpet Area (Sq. Ft.)]]*1.1</f>
        <v>1649.95974</v>
      </c>
      <c r="M82" s="152" t="s">
        <v>167</v>
      </c>
      <c r="N82" s="152" t="s">
        <v>261</v>
      </c>
      <c r="O82" s="152"/>
      <c r="P82" s="154"/>
      <c r="Q82" s="154">
        <f>Table1[[#This Row],[Agreement Value as per  Excel]]-Table1[[#This Row],[Amt Received as per Excel]]</f>
        <v>0</v>
      </c>
      <c r="R82" s="155">
        <f t="shared" si="2"/>
        <v>0</v>
      </c>
      <c r="S82" s="160"/>
      <c r="T82" s="161"/>
      <c r="U82" s="157"/>
    </row>
    <row r="83" spans="2:21" hidden="1" x14ac:dyDescent="0.3">
      <c r="B83" s="148"/>
      <c r="C83" s="148" t="s">
        <v>157</v>
      </c>
      <c r="D83" s="149" t="s">
        <v>250</v>
      </c>
      <c r="E83" s="150" t="s">
        <v>263</v>
      </c>
      <c r="F83" s="150" t="s">
        <v>157</v>
      </c>
      <c r="G83" s="150"/>
      <c r="H83" s="150" t="s">
        <v>166</v>
      </c>
      <c r="I83" s="150" t="e">
        <f>Table1[[#This Row],[Wing]]&amp;-Table1[[#This Row],[Shop No / Office No. / Flat No.]]</f>
        <v>#VALUE!</v>
      </c>
      <c r="J83" s="151">
        <v>31.12</v>
      </c>
      <c r="K83" s="151">
        <f t="shared" si="0"/>
        <v>334.97568000000001</v>
      </c>
      <c r="L83" s="152">
        <f>Table1[[#This Row],[RERA Carpet Area (Sq. Ft.)]]*1.1</f>
        <v>368.47324800000007</v>
      </c>
      <c r="M83" s="152" t="s">
        <v>167</v>
      </c>
      <c r="N83" s="152" t="s">
        <v>261</v>
      </c>
      <c r="O83" s="152"/>
      <c r="P83" s="154"/>
      <c r="Q83" s="154">
        <f>Table1[[#This Row],[Agreement Value as per  Excel]]-Table1[[#This Row],[Amt Received as per Excel]]</f>
        <v>0</v>
      </c>
      <c r="R83" s="155">
        <f t="shared" si="2"/>
        <v>0</v>
      </c>
      <c r="S83" s="160"/>
      <c r="T83" s="161"/>
      <c r="U83" s="157"/>
    </row>
    <row r="84" spans="2:21" hidden="1" x14ac:dyDescent="0.3">
      <c r="B84" s="148">
        <v>57</v>
      </c>
      <c r="C84" s="150" t="s">
        <v>34</v>
      </c>
      <c r="D84" s="149" t="s">
        <v>213</v>
      </c>
      <c r="E84" s="150">
        <v>101</v>
      </c>
      <c r="F84" s="150" t="s">
        <v>251</v>
      </c>
      <c r="G84" s="150" t="s">
        <v>169</v>
      </c>
      <c r="H84" s="150" t="s">
        <v>166</v>
      </c>
      <c r="I84" s="150" t="str">
        <f>Table1[[#This Row],[Wing]]&amp;-Table1[[#This Row],[Shop No / Office No. / Flat No.]]</f>
        <v>A-101</v>
      </c>
      <c r="J84" s="159">
        <v>44.07</v>
      </c>
      <c r="K84" s="151">
        <f t="shared" si="0"/>
        <v>474.36947999999995</v>
      </c>
      <c r="L84" s="152">
        <f>Table1[[#This Row],[RERA Carpet Area (Sq. Ft.)]]*1.1</f>
        <v>521.80642799999998</v>
      </c>
      <c r="M84" s="150" t="s">
        <v>168</v>
      </c>
      <c r="N84" s="152" t="s">
        <v>168</v>
      </c>
      <c r="O84" s="152">
        <v>6860000</v>
      </c>
      <c r="P84" s="154">
        <v>3800000</v>
      </c>
      <c r="Q84" s="154">
        <f>Table1[[#This Row],[Agreement Value as per  Excel]]-Table1[[#This Row],[Amt Received as per Excel]]</f>
        <v>3060000</v>
      </c>
      <c r="R84" s="155">
        <f t="shared" si="2"/>
        <v>14461.301346789849</v>
      </c>
      <c r="S84" s="156"/>
      <c r="T84" s="156"/>
      <c r="U84" s="157"/>
    </row>
    <row r="85" spans="2:21" hidden="1" x14ac:dyDescent="0.3">
      <c r="B85" s="148"/>
      <c r="C85" s="150" t="s">
        <v>34</v>
      </c>
      <c r="D85" s="149" t="s">
        <v>213</v>
      </c>
      <c r="E85" s="150">
        <v>102</v>
      </c>
      <c r="F85" s="150" t="s">
        <v>251</v>
      </c>
      <c r="G85" s="150" t="s">
        <v>169</v>
      </c>
      <c r="H85" s="150" t="s">
        <v>166</v>
      </c>
      <c r="I85" s="150" t="str">
        <f>Table1[[#This Row],[Wing]]&amp;-Table1[[#This Row],[Shop No / Office No. / Flat No.]]</f>
        <v>A-102</v>
      </c>
      <c r="J85" s="159">
        <v>44.07</v>
      </c>
      <c r="K85" s="151">
        <f t="shared" si="0"/>
        <v>474.36947999999995</v>
      </c>
      <c r="L85" s="152">
        <f>Table1[[#This Row],[RERA Carpet Area (Sq. Ft.)]]*1.1</f>
        <v>521.80642799999998</v>
      </c>
      <c r="M85" s="150" t="s">
        <v>168</v>
      </c>
      <c r="N85" s="152" t="s">
        <v>168</v>
      </c>
      <c r="O85" s="152">
        <v>6860000</v>
      </c>
      <c r="P85" s="154">
        <v>4037400</v>
      </c>
      <c r="Q85" s="154">
        <f>Table1[[#This Row],[Agreement Value as per  Excel]]-Table1[[#This Row],[Amt Received as per Excel]]</f>
        <v>2822600</v>
      </c>
      <c r="R85" s="155">
        <f t="shared" si="2"/>
        <v>14461.301346789849</v>
      </c>
      <c r="S85" s="160"/>
      <c r="T85" s="161"/>
      <c r="U85" s="157"/>
    </row>
    <row r="86" spans="2:21" hidden="1" x14ac:dyDescent="0.3">
      <c r="B86" s="148">
        <v>59</v>
      </c>
      <c r="C86" s="148" t="s">
        <v>34</v>
      </c>
      <c r="D86" s="149" t="s">
        <v>213</v>
      </c>
      <c r="E86" s="150">
        <v>103</v>
      </c>
      <c r="F86" s="150" t="s">
        <v>252</v>
      </c>
      <c r="G86" s="150" t="s">
        <v>252</v>
      </c>
      <c r="H86" s="150" t="s">
        <v>252</v>
      </c>
      <c r="I86" s="150" t="str">
        <f>Table1[[#This Row],[Wing]]&amp;-Table1[[#This Row],[Shop No / Office No. / Flat No.]]</f>
        <v>A-103</v>
      </c>
      <c r="J86" s="151">
        <v>0</v>
      </c>
      <c r="K86" s="151">
        <f t="shared" si="0"/>
        <v>0</v>
      </c>
      <c r="L86" s="152">
        <f>Table1[[#This Row],[RERA Carpet Area (Sq. Ft.)]]*1.1</f>
        <v>0</v>
      </c>
      <c r="M86" s="150" t="s">
        <v>171</v>
      </c>
      <c r="N86" s="152" t="s">
        <v>264</v>
      </c>
      <c r="O86" s="152"/>
      <c r="P86" s="154"/>
      <c r="Q86" s="154">
        <f>Table1[[#This Row],[Agreement Value as per  Excel]]-Table1[[#This Row],[Amt Received as per Excel]]</f>
        <v>0</v>
      </c>
      <c r="R86" s="155">
        <f t="shared" si="2"/>
        <v>0</v>
      </c>
      <c r="S86" s="160"/>
      <c r="T86" s="161"/>
      <c r="U86" s="157"/>
    </row>
    <row r="87" spans="2:21" hidden="1" x14ac:dyDescent="0.3">
      <c r="B87" s="148">
        <v>60</v>
      </c>
      <c r="C87" s="148" t="s">
        <v>34</v>
      </c>
      <c r="D87" s="149" t="s">
        <v>213</v>
      </c>
      <c r="E87" s="150">
        <v>104</v>
      </c>
      <c r="F87" s="150" t="s">
        <v>252</v>
      </c>
      <c r="G87" s="150" t="s">
        <v>252</v>
      </c>
      <c r="H87" s="150" t="s">
        <v>252</v>
      </c>
      <c r="I87" s="150" t="str">
        <f>Table1[[#This Row],[Wing]]&amp;-Table1[[#This Row],[Shop No / Office No. / Flat No.]]</f>
        <v>A-104</v>
      </c>
      <c r="J87" s="151">
        <v>0</v>
      </c>
      <c r="K87" s="151">
        <f t="shared" si="0"/>
        <v>0</v>
      </c>
      <c r="L87" s="152">
        <f>Table1[[#This Row],[RERA Carpet Area (Sq. Ft.)]]*1.1</f>
        <v>0</v>
      </c>
      <c r="M87" s="150" t="s">
        <v>171</v>
      </c>
      <c r="N87" s="152" t="s">
        <v>264</v>
      </c>
      <c r="O87" s="152"/>
      <c r="P87" s="154"/>
      <c r="Q87" s="154">
        <f>Table1[[#This Row],[Agreement Value as per  Excel]]-Table1[[#This Row],[Amt Received as per Excel]]</f>
        <v>0</v>
      </c>
      <c r="R87" s="155">
        <f t="shared" si="2"/>
        <v>0</v>
      </c>
      <c r="S87" s="160"/>
      <c r="T87" s="161"/>
      <c r="U87" s="157"/>
    </row>
    <row r="88" spans="2:21" x14ac:dyDescent="0.3">
      <c r="B88" s="148">
        <v>61</v>
      </c>
      <c r="C88" s="148" t="s">
        <v>34</v>
      </c>
      <c r="D88" s="149" t="s">
        <v>213</v>
      </c>
      <c r="E88" s="150">
        <v>105</v>
      </c>
      <c r="F88" s="150" t="s">
        <v>251</v>
      </c>
      <c r="G88" s="150" t="s">
        <v>169</v>
      </c>
      <c r="H88" s="150" t="s">
        <v>170</v>
      </c>
      <c r="I88" s="150" t="str">
        <f>Table1[[#This Row],[Wing]]&amp;-Table1[[#This Row],[Shop No / Office No. / Flat No.]]</f>
        <v>A-105</v>
      </c>
      <c r="J88" s="151">
        <v>44.07</v>
      </c>
      <c r="K88" s="151">
        <f t="shared" si="0"/>
        <v>474.36947999999995</v>
      </c>
      <c r="L88" s="152">
        <f>Table1[[#This Row],[RERA Carpet Area (Sq. Ft.)]]*1.1</f>
        <v>521.80642799999998</v>
      </c>
      <c r="M88" s="150" t="s">
        <v>211</v>
      </c>
      <c r="N88" s="152" t="s">
        <v>265</v>
      </c>
      <c r="O88" s="152">
        <v>2374550</v>
      </c>
      <c r="P88" s="154">
        <v>1780913</v>
      </c>
      <c r="Q88" s="154">
        <f>Table1[[#This Row],[Agreement Value as per  Excel]]-Table1[[#This Row],[Amt Received as per Excel]]</f>
        <v>593637</v>
      </c>
      <c r="R88" s="155">
        <f t="shared" si="2"/>
        <v>5005.6972467958949</v>
      </c>
      <c r="S88" s="160"/>
      <c r="T88" s="161"/>
      <c r="U88" s="157"/>
    </row>
    <row r="89" spans="2:21" x14ac:dyDescent="0.3">
      <c r="B89" s="148">
        <v>62</v>
      </c>
      <c r="C89" s="148" t="s">
        <v>34</v>
      </c>
      <c r="D89" s="149" t="s">
        <v>213</v>
      </c>
      <c r="E89" s="150">
        <v>106</v>
      </c>
      <c r="F89" s="150" t="s">
        <v>251</v>
      </c>
      <c r="G89" s="150" t="s">
        <v>169</v>
      </c>
      <c r="H89" s="150" t="s">
        <v>170</v>
      </c>
      <c r="I89" s="150" t="str">
        <f>Table1[[#This Row],[Wing]]&amp;-Table1[[#This Row],[Shop No / Office No. / Flat No.]]</f>
        <v>A-106</v>
      </c>
      <c r="J89" s="151">
        <v>44.13</v>
      </c>
      <c r="K89" s="151">
        <f t="shared" si="0"/>
        <v>475.01531999999997</v>
      </c>
      <c r="L89" s="152">
        <f>Table1[[#This Row],[RERA Carpet Area (Sq. Ft.)]]*1.1</f>
        <v>522.51685199999997</v>
      </c>
      <c r="M89" s="150" t="s">
        <v>211</v>
      </c>
      <c r="N89" s="152" t="s">
        <v>266</v>
      </c>
      <c r="O89" s="152">
        <v>0</v>
      </c>
      <c r="P89" s="154">
        <v>0</v>
      </c>
      <c r="Q89" s="154">
        <f>Table1[[#This Row],[Agreement Value as per  Excel]]-Table1[[#This Row],[Amt Received as per Excel]]</f>
        <v>0</v>
      </c>
      <c r="R89" s="155">
        <f t="shared" si="2"/>
        <v>0</v>
      </c>
      <c r="S89" s="160"/>
      <c r="T89" s="161"/>
      <c r="U89" s="157"/>
    </row>
    <row r="90" spans="2:21" x14ac:dyDescent="0.3">
      <c r="B90" s="148">
        <v>63</v>
      </c>
      <c r="C90" s="148" t="s">
        <v>34</v>
      </c>
      <c r="D90" s="149" t="s">
        <v>213</v>
      </c>
      <c r="E90" s="150">
        <v>107</v>
      </c>
      <c r="F90" s="150" t="s">
        <v>253</v>
      </c>
      <c r="G90" s="150" t="s">
        <v>169</v>
      </c>
      <c r="H90" s="150" t="s">
        <v>170</v>
      </c>
      <c r="I90" s="150" t="str">
        <f>Table1[[#This Row],[Wing]]&amp;-Table1[[#This Row],[Shop No / Office No. / Flat No.]]</f>
        <v>A-107</v>
      </c>
      <c r="J90" s="151">
        <v>33.01</v>
      </c>
      <c r="K90" s="151">
        <f t="shared" si="0"/>
        <v>355.31963999999994</v>
      </c>
      <c r="L90" s="152">
        <f>Table1[[#This Row],[RERA Carpet Area (Sq. Ft.)]]*1.1</f>
        <v>390.85160399999995</v>
      </c>
      <c r="M90" s="150" t="s">
        <v>211</v>
      </c>
      <c r="N90" s="152" t="s">
        <v>266</v>
      </c>
      <c r="O90" s="152">
        <v>0</v>
      </c>
      <c r="P90" s="154">
        <v>0</v>
      </c>
      <c r="Q90" s="154">
        <f>Table1[[#This Row],[Agreement Value as per  Excel]]-Table1[[#This Row],[Amt Received as per Excel]]</f>
        <v>0</v>
      </c>
      <c r="R90" s="155">
        <f t="shared" si="2"/>
        <v>0</v>
      </c>
      <c r="S90" s="160"/>
      <c r="T90" s="161"/>
      <c r="U90" s="157"/>
    </row>
    <row r="91" spans="2:21" x14ac:dyDescent="0.3">
      <c r="B91" s="148">
        <v>64</v>
      </c>
      <c r="C91" s="148" t="s">
        <v>34</v>
      </c>
      <c r="D91" s="149" t="s">
        <v>213</v>
      </c>
      <c r="E91" s="150">
        <v>108</v>
      </c>
      <c r="F91" s="150" t="s">
        <v>251</v>
      </c>
      <c r="G91" s="150" t="s">
        <v>169</v>
      </c>
      <c r="H91" s="150" t="s">
        <v>170</v>
      </c>
      <c r="I91" s="150" t="str">
        <f>Table1[[#This Row],[Wing]]&amp;-Table1[[#This Row],[Shop No / Office No. / Flat No.]]</f>
        <v>A-108</v>
      </c>
      <c r="J91" s="151">
        <v>50.84</v>
      </c>
      <c r="K91" s="151">
        <f t="shared" si="0"/>
        <v>547.24176</v>
      </c>
      <c r="L91" s="152">
        <f>Table1[[#This Row],[RERA Carpet Area (Sq. Ft.)]]*1.1</f>
        <v>601.96593600000006</v>
      </c>
      <c r="M91" s="150" t="s">
        <v>211</v>
      </c>
      <c r="N91" s="152" t="s">
        <v>265</v>
      </c>
      <c r="O91" s="152">
        <v>3980550</v>
      </c>
      <c r="P91" s="154">
        <v>1194165</v>
      </c>
      <c r="Q91" s="154">
        <f>Table1[[#This Row],[Agreement Value as per  Excel]]-Table1[[#This Row],[Amt Received as per Excel]]</f>
        <v>2786385</v>
      </c>
      <c r="R91" s="155">
        <f t="shared" si="2"/>
        <v>7273.8418208434969</v>
      </c>
      <c r="S91" s="160"/>
      <c r="T91" s="161"/>
      <c r="U91" s="157"/>
    </row>
    <row r="92" spans="2:21" x14ac:dyDescent="0.3">
      <c r="B92" s="148">
        <v>65</v>
      </c>
      <c r="C92" s="148" t="s">
        <v>34</v>
      </c>
      <c r="D92" s="149" t="s">
        <v>213</v>
      </c>
      <c r="E92" s="150">
        <v>109</v>
      </c>
      <c r="F92" s="150" t="s">
        <v>253</v>
      </c>
      <c r="G92" s="150" t="s">
        <v>169</v>
      </c>
      <c r="H92" s="150" t="s">
        <v>170</v>
      </c>
      <c r="I92" s="150" t="str">
        <f>Table1[[#This Row],[Wing]]&amp;-Table1[[#This Row],[Shop No / Office No. / Flat No.]]</f>
        <v>A-109</v>
      </c>
      <c r="J92" s="151">
        <v>32.799999999999997</v>
      </c>
      <c r="K92" s="151">
        <f t="shared" si="0"/>
        <v>353.05919999999998</v>
      </c>
      <c r="L92" s="152">
        <f>Table1[[#This Row],[RERA Carpet Area (Sq. Ft.)]]*1.1</f>
        <v>388.36511999999999</v>
      </c>
      <c r="M92" s="150" t="s">
        <v>211</v>
      </c>
      <c r="N92" s="152" t="s">
        <v>266</v>
      </c>
      <c r="O92" s="152"/>
      <c r="P92" s="154"/>
      <c r="Q92" s="154">
        <f>Table1[[#This Row],[Agreement Value as per  Excel]]-Table1[[#This Row],[Amt Received as per Excel]]</f>
        <v>0</v>
      </c>
      <c r="R92" s="155">
        <f t="shared" si="2"/>
        <v>0</v>
      </c>
      <c r="S92" s="160"/>
      <c r="T92" s="161"/>
      <c r="U92" s="157"/>
    </row>
    <row r="93" spans="2:21" x14ac:dyDescent="0.3">
      <c r="B93" s="148">
        <v>66</v>
      </c>
      <c r="C93" s="148" t="s">
        <v>34</v>
      </c>
      <c r="D93" s="149" t="s">
        <v>213</v>
      </c>
      <c r="E93" s="150">
        <v>110</v>
      </c>
      <c r="F93" s="150" t="s">
        <v>253</v>
      </c>
      <c r="G93" s="150" t="s">
        <v>169</v>
      </c>
      <c r="H93" s="150" t="s">
        <v>170</v>
      </c>
      <c r="I93" s="150" t="str">
        <f>Table1[[#This Row],[Wing]]&amp;-Table1[[#This Row],[Shop No / Office No. / Flat No.]]</f>
        <v>A-110</v>
      </c>
      <c r="J93" s="151">
        <v>33.01</v>
      </c>
      <c r="K93" s="151">
        <f t="shared" si="0"/>
        <v>355.31963999999994</v>
      </c>
      <c r="L93" s="152">
        <f>Table1[[#This Row],[RERA Carpet Area (Sq. Ft.)]]*1.1</f>
        <v>390.85160399999995</v>
      </c>
      <c r="M93" s="150" t="s">
        <v>211</v>
      </c>
      <c r="N93" s="152" t="s">
        <v>266</v>
      </c>
      <c r="O93" s="152"/>
      <c r="P93" s="154"/>
      <c r="Q93" s="154">
        <f>Table1[[#This Row],[Agreement Value as per  Excel]]-Table1[[#This Row],[Amt Received as per Excel]]</f>
        <v>0</v>
      </c>
      <c r="R93" s="155">
        <f t="shared" si="2"/>
        <v>0</v>
      </c>
      <c r="S93" s="160"/>
      <c r="T93" s="161"/>
      <c r="U93" s="157"/>
    </row>
    <row r="94" spans="2:21" x14ac:dyDescent="0.3">
      <c r="B94" s="148">
        <v>67</v>
      </c>
      <c r="C94" s="148" t="s">
        <v>34</v>
      </c>
      <c r="D94" s="149" t="s">
        <v>214</v>
      </c>
      <c r="E94" s="150">
        <v>201</v>
      </c>
      <c r="F94" s="150" t="s">
        <v>251</v>
      </c>
      <c r="G94" s="150" t="s">
        <v>169</v>
      </c>
      <c r="H94" s="150" t="s">
        <v>170</v>
      </c>
      <c r="I94" s="150" t="str">
        <f>Table1[[#This Row],[Wing]]&amp;-Table1[[#This Row],[Shop No / Office No. / Flat No.]]</f>
        <v>A-201</v>
      </c>
      <c r="J94" s="151">
        <v>44.07</v>
      </c>
      <c r="K94" s="151">
        <f t="shared" ref="K94:K159" si="3">IFERROR(J94*10.764,0)</f>
        <v>474.36947999999995</v>
      </c>
      <c r="L94" s="152">
        <f>Table1[[#This Row],[RERA Carpet Area (Sq. Ft.)]]*1.1</f>
        <v>521.80642799999998</v>
      </c>
      <c r="M94" s="150" t="s">
        <v>211</v>
      </c>
      <c r="N94" s="152" t="s">
        <v>266</v>
      </c>
      <c r="O94" s="152"/>
      <c r="P94" s="154"/>
      <c r="Q94" s="154">
        <f>Table1[[#This Row],[Agreement Value as per  Excel]]-Table1[[#This Row],[Amt Received as per Excel]]</f>
        <v>0</v>
      </c>
      <c r="R94" s="155">
        <f t="shared" si="2"/>
        <v>0</v>
      </c>
      <c r="S94" s="160"/>
      <c r="T94" s="161"/>
      <c r="U94" s="157"/>
    </row>
    <row r="95" spans="2:21" x14ac:dyDescent="0.3">
      <c r="B95" s="148"/>
      <c r="C95" s="148" t="s">
        <v>34</v>
      </c>
      <c r="D95" s="149" t="s">
        <v>214</v>
      </c>
      <c r="E95" s="150">
        <v>202</v>
      </c>
      <c r="F95" s="150" t="s">
        <v>251</v>
      </c>
      <c r="G95" s="150" t="s">
        <v>169</v>
      </c>
      <c r="H95" s="150" t="s">
        <v>170</v>
      </c>
      <c r="I95" s="150" t="str">
        <f>Table1[[#This Row],[Wing]]&amp;-Table1[[#This Row],[Shop No / Office No. / Flat No.]]</f>
        <v>A-202</v>
      </c>
      <c r="J95" s="151">
        <v>44.07</v>
      </c>
      <c r="K95" s="151">
        <f t="shared" si="3"/>
        <v>474.36947999999995</v>
      </c>
      <c r="L95" s="152">
        <f>Table1[[#This Row],[RERA Carpet Area (Sq. Ft.)]]*1.1</f>
        <v>521.80642799999998</v>
      </c>
      <c r="M95" s="150" t="s">
        <v>211</v>
      </c>
      <c r="N95" s="152" t="s">
        <v>266</v>
      </c>
      <c r="O95" s="152"/>
      <c r="P95" s="154"/>
      <c r="Q95" s="154">
        <f>Table1[[#This Row],[Agreement Value as per  Excel]]-Table1[[#This Row],[Amt Received as per Excel]]</f>
        <v>0</v>
      </c>
      <c r="R95" s="155">
        <f t="shared" si="2"/>
        <v>0</v>
      </c>
      <c r="S95" s="160"/>
      <c r="T95" s="161"/>
      <c r="U95" s="157"/>
    </row>
    <row r="96" spans="2:21" hidden="1" x14ac:dyDescent="0.3">
      <c r="B96" s="148">
        <v>69</v>
      </c>
      <c r="C96" s="148" t="s">
        <v>34</v>
      </c>
      <c r="D96" s="149" t="s">
        <v>214</v>
      </c>
      <c r="E96" s="150">
        <v>203</v>
      </c>
      <c r="F96" s="150" t="s">
        <v>254</v>
      </c>
      <c r="G96" s="150" t="s">
        <v>169</v>
      </c>
      <c r="H96" s="150" t="s">
        <v>170</v>
      </c>
      <c r="I96" s="150" t="str">
        <f>Table1[[#This Row],[Wing]]&amp;-Table1[[#This Row],[Shop No / Office No. / Flat No.]]</f>
        <v>A-203</v>
      </c>
      <c r="J96" s="151">
        <v>66.650000000000006</v>
      </c>
      <c r="K96" s="151">
        <f t="shared" si="3"/>
        <v>717.42060000000004</v>
      </c>
      <c r="L96" s="152">
        <f>Table1[[#This Row],[RERA Carpet Area (Sq. Ft.)]]*1.1</f>
        <v>789.16266000000007</v>
      </c>
      <c r="M96" s="150" t="s">
        <v>211</v>
      </c>
      <c r="N96" s="152" t="s">
        <v>168</v>
      </c>
      <c r="O96" s="152">
        <v>16031820</v>
      </c>
      <c r="P96" s="154">
        <v>1000000</v>
      </c>
      <c r="Q96" s="154">
        <f>Table1[[#This Row],[Agreement Value as per  Excel]]-Table1[[#This Row],[Amt Received as per Excel]]</f>
        <v>15031820</v>
      </c>
      <c r="R96" s="155">
        <f t="shared" si="2"/>
        <v>22346.472905851879</v>
      </c>
      <c r="S96" s="160"/>
      <c r="T96" s="161"/>
      <c r="U96" s="157"/>
    </row>
    <row r="97" spans="2:21" x14ac:dyDescent="0.3">
      <c r="B97" s="148">
        <v>70</v>
      </c>
      <c r="C97" s="148" t="s">
        <v>34</v>
      </c>
      <c r="D97" s="149" t="s">
        <v>214</v>
      </c>
      <c r="E97" s="150">
        <v>204</v>
      </c>
      <c r="F97" s="150" t="s">
        <v>254</v>
      </c>
      <c r="G97" s="150" t="s">
        <v>169</v>
      </c>
      <c r="H97" s="150" t="s">
        <v>170</v>
      </c>
      <c r="I97" s="150" t="str">
        <f>Table1[[#This Row],[Wing]]&amp;-Table1[[#This Row],[Shop No / Office No. / Flat No.]]</f>
        <v>A-204</v>
      </c>
      <c r="J97" s="151">
        <v>66.650000000000006</v>
      </c>
      <c r="K97" s="151">
        <f t="shared" si="3"/>
        <v>717.42060000000004</v>
      </c>
      <c r="L97" s="152">
        <f>Table1[[#This Row],[RERA Carpet Area (Sq. Ft.)]]*1.1</f>
        <v>789.16266000000007</v>
      </c>
      <c r="M97" s="150" t="s">
        <v>211</v>
      </c>
      <c r="N97" s="152" t="s">
        <v>265</v>
      </c>
      <c r="O97" s="267">
        <v>185925</v>
      </c>
      <c r="P97" s="268">
        <v>185925</v>
      </c>
      <c r="Q97" s="154">
        <f>Table1[[#This Row],[Agreement Value as per  Excel]]-Table1[[#This Row],[Amt Received as per Excel]]</f>
        <v>0</v>
      </c>
      <c r="R97" s="155">
        <f t="shared" si="2"/>
        <v>259.15759876423954</v>
      </c>
      <c r="S97" s="160"/>
      <c r="T97" s="161"/>
      <c r="U97" s="157"/>
    </row>
    <row r="98" spans="2:21" x14ac:dyDescent="0.3">
      <c r="B98" s="148">
        <v>71</v>
      </c>
      <c r="C98" s="148" t="s">
        <v>34</v>
      </c>
      <c r="D98" s="149" t="s">
        <v>214</v>
      </c>
      <c r="E98" s="150">
        <v>205</v>
      </c>
      <c r="F98" s="150" t="s">
        <v>251</v>
      </c>
      <c r="G98" s="150" t="s">
        <v>169</v>
      </c>
      <c r="H98" s="150" t="s">
        <v>170</v>
      </c>
      <c r="I98" s="150" t="str">
        <f>Table1[[#This Row],[Wing]]&amp;-Table1[[#This Row],[Shop No / Office No. / Flat No.]]</f>
        <v>A-205</v>
      </c>
      <c r="J98" s="151">
        <v>44.07</v>
      </c>
      <c r="K98" s="151">
        <f t="shared" si="3"/>
        <v>474.36947999999995</v>
      </c>
      <c r="L98" s="152">
        <f>Table1[[#This Row],[RERA Carpet Area (Sq. Ft.)]]*1.1</f>
        <v>521.80642799999998</v>
      </c>
      <c r="M98" s="150" t="s">
        <v>211</v>
      </c>
      <c r="N98" s="152" t="s">
        <v>266</v>
      </c>
      <c r="O98" s="152"/>
      <c r="P98" s="154"/>
      <c r="Q98" s="154">
        <f>Table1[[#This Row],[Agreement Value as per  Excel]]-Table1[[#This Row],[Amt Received as per Excel]]</f>
        <v>0</v>
      </c>
      <c r="R98" s="155">
        <f t="shared" si="2"/>
        <v>0</v>
      </c>
      <c r="S98" s="160"/>
      <c r="T98" s="161"/>
      <c r="U98" s="157"/>
    </row>
    <row r="99" spans="2:21" x14ac:dyDescent="0.3">
      <c r="B99" s="148">
        <v>72</v>
      </c>
      <c r="C99" s="148" t="s">
        <v>34</v>
      </c>
      <c r="D99" s="149" t="s">
        <v>214</v>
      </c>
      <c r="E99" s="150">
        <v>206</v>
      </c>
      <c r="F99" s="150" t="s">
        <v>251</v>
      </c>
      <c r="G99" s="150" t="s">
        <v>169</v>
      </c>
      <c r="H99" s="150" t="s">
        <v>170</v>
      </c>
      <c r="I99" s="150" t="str">
        <f>Table1[[#This Row],[Wing]]&amp;-Table1[[#This Row],[Shop No / Office No. / Flat No.]]</f>
        <v>A-206</v>
      </c>
      <c r="J99" s="151">
        <v>44.07</v>
      </c>
      <c r="K99" s="151">
        <f t="shared" si="3"/>
        <v>474.36947999999995</v>
      </c>
      <c r="L99" s="152">
        <f>Table1[[#This Row],[RERA Carpet Area (Sq. Ft.)]]*1.1</f>
        <v>521.80642799999998</v>
      </c>
      <c r="M99" s="150" t="s">
        <v>211</v>
      </c>
      <c r="N99" s="152" t="s">
        <v>266</v>
      </c>
      <c r="O99" s="152"/>
      <c r="P99" s="154"/>
      <c r="Q99" s="154">
        <f>Table1[[#This Row],[Agreement Value as per  Excel]]-Table1[[#This Row],[Amt Received as per Excel]]</f>
        <v>0</v>
      </c>
      <c r="R99" s="155">
        <f t="shared" si="2"/>
        <v>0</v>
      </c>
      <c r="S99" s="160"/>
      <c r="T99" s="161"/>
      <c r="U99" s="157"/>
    </row>
    <row r="100" spans="2:21" x14ac:dyDescent="0.3">
      <c r="B100" s="148">
        <v>73</v>
      </c>
      <c r="C100" s="148" t="s">
        <v>34</v>
      </c>
      <c r="D100" s="149" t="s">
        <v>214</v>
      </c>
      <c r="E100" s="150">
        <v>207</v>
      </c>
      <c r="F100" s="150" t="s">
        <v>253</v>
      </c>
      <c r="G100" s="150" t="s">
        <v>169</v>
      </c>
      <c r="H100" s="150" t="s">
        <v>170</v>
      </c>
      <c r="I100" s="150" t="str">
        <f>Table1[[#This Row],[Wing]]&amp;-Table1[[#This Row],[Shop No / Office No. / Flat No.]]</f>
        <v>A-207</v>
      </c>
      <c r="J100" s="151">
        <v>33.01</v>
      </c>
      <c r="K100" s="151">
        <f t="shared" si="3"/>
        <v>355.31963999999994</v>
      </c>
      <c r="L100" s="152">
        <f>Table1[[#This Row],[RERA Carpet Area (Sq. Ft.)]]*1.1</f>
        <v>390.85160399999995</v>
      </c>
      <c r="M100" s="150" t="s">
        <v>211</v>
      </c>
      <c r="N100" s="152" t="s">
        <v>266</v>
      </c>
      <c r="O100" s="152"/>
      <c r="P100" s="154"/>
      <c r="Q100" s="154">
        <f>Table1[[#This Row],[Agreement Value as per  Excel]]-Table1[[#This Row],[Amt Received as per Excel]]</f>
        <v>0</v>
      </c>
      <c r="R100" s="155">
        <f t="shared" si="2"/>
        <v>0</v>
      </c>
      <c r="S100" s="160"/>
      <c r="T100" s="161"/>
      <c r="U100" s="157"/>
    </row>
    <row r="101" spans="2:21" x14ac:dyDescent="0.3">
      <c r="B101" s="148">
        <v>74</v>
      </c>
      <c r="C101" s="148" t="s">
        <v>34</v>
      </c>
      <c r="D101" s="149" t="s">
        <v>214</v>
      </c>
      <c r="E101" s="150">
        <v>208</v>
      </c>
      <c r="F101" s="150" t="s">
        <v>251</v>
      </c>
      <c r="G101" s="150" t="s">
        <v>169</v>
      </c>
      <c r="H101" s="150" t="s">
        <v>170</v>
      </c>
      <c r="I101" s="150" t="str">
        <f>Table1[[#This Row],[Wing]]&amp;-Table1[[#This Row],[Shop No / Office No. / Flat No.]]</f>
        <v>A-208</v>
      </c>
      <c r="J101" s="151">
        <v>50.84</v>
      </c>
      <c r="K101" s="151">
        <f t="shared" si="3"/>
        <v>547.24176</v>
      </c>
      <c r="L101" s="152">
        <f>Table1[[#This Row],[RERA Carpet Area (Sq. Ft.)]]*1.1</f>
        <v>601.96593600000006</v>
      </c>
      <c r="M101" s="150" t="s">
        <v>211</v>
      </c>
      <c r="N101" s="152" t="s">
        <v>265</v>
      </c>
      <c r="O101" s="267">
        <v>3823323</v>
      </c>
      <c r="P101" s="268">
        <v>2867492</v>
      </c>
      <c r="Q101" s="154">
        <f>Table1[[#This Row],[Agreement Value as per  Excel]]-Table1[[#This Row],[Amt Received as per Excel]]</f>
        <v>955831</v>
      </c>
      <c r="R101" s="155">
        <f t="shared" si="2"/>
        <v>6986.5337031296731</v>
      </c>
      <c r="S101" s="160"/>
      <c r="T101" s="161"/>
      <c r="U101" s="157"/>
    </row>
    <row r="102" spans="2:21" x14ac:dyDescent="0.3">
      <c r="B102" s="148">
        <v>75</v>
      </c>
      <c r="C102" s="148" t="s">
        <v>34</v>
      </c>
      <c r="D102" s="149" t="s">
        <v>214</v>
      </c>
      <c r="E102" s="150">
        <v>209</v>
      </c>
      <c r="F102" s="150" t="s">
        <v>253</v>
      </c>
      <c r="G102" s="150" t="s">
        <v>169</v>
      </c>
      <c r="H102" s="150" t="s">
        <v>170</v>
      </c>
      <c r="I102" s="150" t="str">
        <f>Table1[[#This Row],[Wing]]&amp;-Table1[[#This Row],[Shop No / Office No. / Flat No.]]</f>
        <v>A-209</v>
      </c>
      <c r="J102" s="151">
        <v>32.799999999999997</v>
      </c>
      <c r="K102" s="151">
        <f t="shared" si="3"/>
        <v>353.05919999999998</v>
      </c>
      <c r="L102" s="152">
        <f>Table1[[#This Row],[RERA Carpet Area (Sq. Ft.)]]*1.1</f>
        <v>388.36511999999999</v>
      </c>
      <c r="M102" s="150" t="s">
        <v>211</v>
      </c>
      <c r="N102" s="152" t="s">
        <v>266</v>
      </c>
      <c r="O102" s="152"/>
      <c r="P102" s="154"/>
      <c r="Q102" s="154">
        <f>Table1[[#This Row],[Agreement Value as per  Excel]]-Table1[[#This Row],[Amt Received as per Excel]]</f>
        <v>0</v>
      </c>
      <c r="R102" s="155">
        <f t="shared" si="2"/>
        <v>0</v>
      </c>
      <c r="S102" s="160"/>
      <c r="T102" s="161"/>
      <c r="U102" s="157"/>
    </row>
    <row r="103" spans="2:21" x14ac:dyDescent="0.3">
      <c r="B103" s="148">
        <v>76</v>
      </c>
      <c r="C103" s="148" t="s">
        <v>34</v>
      </c>
      <c r="D103" s="149" t="s">
        <v>214</v>
      </c>
      <c r="E103" s="150">
        <v>210</v>
      </c>
      <c r="F103" s="150" t="s">
        <v>253</v>
      </c>
      <c r="G103" s="150" t="s">
        <v>169</v>
      </c>
      <c r="H103" s="150" t="s">
        <v>170</v>
      </c>
      <c r="I103" s="150" t="str">
        <f>Table1[[#This Row],[Wing]]&amp;-Table1[[#This Row],[Shop No / Office No. / Flat No.]]</f>
        <v>A-210</v>
      </c>
      <c r="J103" s="151">
        <v>33.01</v>
      </c>
      <c r="K103" s="151">
        <f t="shared" si="3"/>
        <v>355.31963999999994</v>
      </c>
      <c r="L103" s="152">
        <f>Table1[[#This Row],[RERA Carpet Area (Sq. Ft.)]]*1.1</f>
        <v>390.85160399999995</v>
      </c>
      <c r="M103" s="150" t="s">
        <v>211</v>
      </c>
      <c r="N103" s="152" t="s">
        <v>266</v>
      </c>
      <c r="O103" s="152"/>
      <c r="P103" s="154"/>
      <c r="Q103" s="154">
        <f>Table1[[#This Row],[Agreement Value as per  Excel]]-Table1[[#This Row],[Amt Received as per Excel]]</f>
        <v>0</v>
      </c>
      <c r="R103" s="155">
        <f t="shared" si="2"/>
        <v>0</v>
      </c>
      <c r="S103" s="160"/>
      <c r="T103" s="161"/>
      <c r="U103" s="157"/>
    </row>
    <row r="104" spans="2:21" x14ac:dyDescent="0.3">
      <c r="B104" s="148"/>
      <c r="C104" s="148" t="s">
        <v>34</v>
      </c>
      <c r="D104" s="149" t="s">
        <v>215</v>
      </c>
      <c r="E104" s="150">
        <v>301</v>
      </c>
      <c r="F104" s="150" t="s">
        <v>251</v>
      </c>
      <c r="G104" s="150" t="s">
        <v>169</v>
      </c>
      <c r="H104" s="150" t="s">
        <v>170</v>
      </c>
      <c r="I104" s="150" t="str">
        <f>Table1[[#This Row],[Wing]]&amp;-Table1[[#This Row],[Shop No / Office No. / Flat No.]]</f>
        <v>A-301</v>
      </c>
      <c r="J104" s="151">
        <v>43.85</v>
      </c>
      <c r="K104" s="151">
        <f t="shared" si="3"/>
        <v>472.00139999999999</v>
      </c>
      <c r="L104" s="152">
        <f>Table1[[#This Row],[RERA Carpet Area (Sq. Ft.)]]*1.1</f>
        <v>519.20154000000002</v>
      </c>
      <c r="M104" s="150" t="s">
        <v>211</v>
      </c>
      <c r="N104" s="152" t="s">
        <v>266</v>
      </c>
      <c r="O104" s="152"/>
      <c r="P104" s="154"/>
      <c r="Q104" s="154">
        <f>Table1[[#This Row],[Agreement Value as per  Excel]]-Table1[[#This Row],[Amt Received as per Excel]]</f>
        <v>0</v>
      </c>
      <c r="R104" s="155">
        <f t="shared" si="2"/>
        <v>0</v>
      </c>
      <c r="S104" s="160"/>
      <c r="T104" s="161"/>
      <c r="U104" s="157"/>
    </row>
    <row r="105" spans="2:21" x14ac:dyDescent="0.3">
      <c r="B105" s="148">
        <v>77</v>
      </c>
      <c r="C105" s="148" t="s">
        <v>34</v>
      </c>
      <c r="D105" s="149" t="s">
        <v>215</v>
      </c>
      <c r="E105" s="150">
        <v>302</v>
      </c>
      <c r="F105" s="150" t="s">
        <v>251</v>
      </c>
      <c r="G105" s="150" t="s">
        <v>169</v>
      </c>
      <c r="H105" s="150" t="s">
        <v>170</v>
      </c>
      <c r="I105" s="150" t="str">
        <f>Table1[[#This Row],[Wing]]&amp;-Table1[[#This Row],[Shop No / Office No. / Flat No.]]</f>
        <v>A-302</v>
      </c>
      <c r="J105" s="151">
        <v>44.07</v>
      </c>
      <c r="K105" s="151">
        <f t="shared" si="3"/>
        <v>474.36947999999995</v>
      </c>
      <c r="L105" s="152">
        <f>Table1[[#This Row],[RERA Carpet Area (Sq. Ft.)]]*1.1</f>
        <v>521.80642799999998</v>
      </c>
      <c r="M105" s="150" t="s">
        <v>211</v>
      </c>
      <c r="N105" s="152" t="s">
        <v>266</v>
      </c>
      <c r="O105" s="152"/>
      <c r="P105" s="154"/>
      <c r="Q105" s="154">
        <f>Table1[[#This Row],[Agreement Value as per  Excel]]-Table1[[#This Row],[Amt Received as per Excel]]</f>
        <v>0</v>
      </c>
      <c r="R105" s="155">
        <f t="shared" si="2"/>
        <v>0</v>
      </c>
      <c r="S105" s="160"/>
      <c r="T105" s="161"/>
      <c r="U105" s="157"/>
    </row>
    <row r="106" spans="2:21" x14ac:dyDescent="0.3">
      <c r="B106" s="148">
        <v>79</v>
      </c>
      <c r="C106" s="148" t="s">
        <v>34</v>
      </c>
      <c r="D106" s="149" t="s">
        <v>215</v>
      </c>
      <c r="E106" s="150">
        <v>303</v>
      </c>
      <c r="F106" s="150" t="s">
        <v>251</v>
      </c>
      <c r="G106" s="150" t="s">
        <v>169</v>
      </c>
      <c r="H106" s="150" t="s">
        <v>170</v>
      </c>
      <c r="I106" s="150" t="str">
        <f>Table1[[#This Row],[Wing]]&amp;-Table1[[#This Row],[Shop No / Office No. / Flat No.]]</f>
        <v>A-303</v>
      </c>
      <c r="J106" s="151">
        <v>44.07</v>
      </c>
      <c r="K106" s="151">
        <f t="shared" si="3"/>
        <v>474.36947999999995</v>
      </c>
      <c r="L106" s="152">
        <f>Table1[[#This Row],[RERA Carpet Area (Sq. Ft.)]]*1.1</f>
        <v>521.80642799999998</v>
      </c>
      <c r="M106" s="150" t="s">
        <v>211</v>
      </c>
      <c r="N106" s="152" t="s">
        <v>265</v>
      </c>
      <c r="O106" s="267">
        <v>4733650</v>
      </c>
      <c r="P106" s="268">
        <v>2920095</v>
      </c>
      <c r="Q106" s="154">
        <f>Table1[[#This Row],[Agreement Value as per  Excel]]-Table1[[#This Row],[Amt Received as per Excel]]</f>
        <v>1813555</v>
      </c>
      <c r="R106" s="155">
        <f t="shared" si="2"/>
        <v>9978.8249446402006</v>
      </c>
      <c r="S106" s="160"/>
      <c r="T106" s="161"/>
      <c r="U106" s="157"/>
    </row>
    <row r="107" spans="2:21" hidden="1" x14ac:dyDescent="0.3">
      <c r="B107" s="148">
        <v>80</v>
      </c>
      <c r="C107" s="148" t="s">
        <v>34</v>
      </c>
      <c r="D107" s="149" t="s">
        <v>215</v>
      </c>
      <c r="E107" s="150">
        <v>304</v>
      </c>
      <c r="F107" s="150" t="s">
        <v>254</v>
      </c>
      <c r="G107" s="150" t="s">
        <v>169</v>
      </c>
      <c r="H107" s="150" t="s">
        <v>170</v>
      </c>
      <c r="I107" s="150" t="str">
        <f>Table1[[#This Row],[Wing]]&amp;-Table1[[#This Row],[Shop No / Office No. / Flat No.]]</f>
        <v>A-304</v>
      </c>
      <c r="J107" s="151">
        <v>66.650000000000006</v>
      </c>
      <c r="K107" s="151">
        <f t="shared" si="3"/>
        <v>717.42060000000004</v>
      </c>
      <c r="L107" s="152">
        <f>Table1[[#This Row],[RERA Carpet Area (Sq. Ft.)]]*1.1</f>
        <v>789.16266000000007</v>
      </c>
      <c r="M107" s="150" t="s">
        <v>211</v>
      </c>
      <c r="N107" s="152" t="s">
        <v>167</v>
      </c>
      <c r="O107" s="152"/>
      <c r="P107" s="154"/>
      <c r="Q107" s="154">
        <f>Table1[[#This Row],[Agreement Value as per  Excel]]-Table1[[#This Row],[Amt Received as per Excel]]</f>
        <v>0</v>
      </c>
      <c r="R107" s="155">
        <f t="shared" si="2"/>
        <v>0</v>
      </c>
      <c r="S107" s="160"/>
      <c r="T107" s="161"/>
      <c r="U107" s="157"/>
    </row>
    <row r="108" spans="2:21" x14ac:dyDescent="0.3">
      <c r="B108" s="148">
        <v>81</v>
      </c>
      <c r="C108" s="148" t="s">
        <v>34</v>
      </c>
      <c r="D108" s="149" t="s">
        <v>215</v>
      </c>
      <c r="E108" s="150">
        <v>305</v>
      </c>
      <c r="F108" s="150" t="s">
        <v>254</v>
      </c>
      <c r="G108" s="150" t="s">
        <v>169</v>
      </c>
      <c r="H108" s="150" t="s">
        <v>170</v>
      </c>
      <c r="I108" s="150" t="str">
        <f>Table1[[#This Row],[Wing]]&amp;-Table1[[#This Row],[Shop No / Office No. / Flat No.]]</f>
        <v>A-305</v>
      </c>
      <c r="J108" s="151">
        <v>66.650000000000006</v>
      </c>
      <c r="K108" s="151">
        <f t="shared" si="3"/>
        <v>717.42060000000004</v>
      </c>
      <c r="L108" s="152">
        <f>Table1[[#This Row],[RERA Carpet Area (Sq. Ft.)]]*1.1</f>
        <v>789.16266000000007</v>
      </c>
      <c r="M108" s="150" t="s">
        <v>211</v>
      </c>
      <c r="N108" s="152" t="s">
        <v>266</v>
      </c>
      <c r="O108" s="152"/>
      <c r="P108" s="154"/>
      <c r="Q108" s="154">
        <f>Table1[[#This Row],[Agreement Value as per  Excel]]-Table1[[#This Row],[Amt Received as per Excel]]</f>
        <v>0</v>
      </c>
      <c r="R108" s="155">
        <f t="shared" si="2"/>
        <v>0</v>
      </c>
      <c r="S108" s="160"/>
      <c r="T108" s="161"/>
      <c r="U108" s="157"/>
    </row>
    <row r="109" spans="2:21" x14ac:dyDescent="0.3">
      <c r="B109" s="148">
        <v>82</v>
      </c>
      <c r="C109" s="148" t="s">
        <v>34</v>
      </c>
      <c r="D109" s="149" t="s">
        <v>215</v>
      </c>
      <c r="E109" s="150">
        <v>306</v>
      </c>
      <c r="F109" s="150" t="s">
        <v>251</v>
      </c>
      <c r="G109" s="150" t="s">
        <v>169</v>
      </c>
      <c r="H109" s="150" t="s">
        <v>170</v>
      </c>
      <c r="I109" s="150" t="str">
        <f>Table1[[#This Row],[Wing]]&amp;-Table1[[#This Row],[Shop No / Office No. / Flat No.]]</f>
        <v>A-306</v>
      </c>
      <c r="J109" s="151">
        <v>44.07</v>
      </c>
      <c r="K109" s="151">
        <f t="shared" si="3"/>
        <v>474.36947999999995</v>
      </c>
      <c r="L109" s="152">
        <f>Table1[[#This Row],[RERA Carpet Area (Sq. Ft.)]]*1.1</f>
        <v>521.80642799999998</v>
      </c>
      <c r="M109" s="150" t="s">
        <v>211</v>
      </c>
      <c r="N109" s="152" t="s">
        <v>265</v>
      </c>
      <c r="O109" s="267">
        <v>2146000</v>
      </c>
      <c r="P109" s="268">
        <v>1073000</v>
      </c>
      <c r="Q109" s="154">
        <f>Table1[[#This Row],[Agreement Value as per  Excel]]-Table1[[#This Row],[Amt Received as per Excel]]</f>
        <v>1073000</v>
      </c>
      <c r="R109" s="155">
        <f t="shared" si="2"/>
        <v>4523.8998090686619</v>
      </c>
      <c r="S109" s="160"/>
      <c r="T109" s="161"/>
      <c r="U109" s="157"/>
    </row>
    <row r="110" spans="2:21" x14ac:dyDescent="0.3">
      <c r="B110" s="148">
        <v>83</v>
      </c>
      <c r="C110" s="148" t="s">
        <v>34</v>
      </c>
      <c r="D110" s="149" t="s">
        <v>215</v>
      </c>
      <c r="E110" s="150">
        <v>307</v>
      </c>
      <c r="F110" s="150" t="s">
        <v>251</v>
      </c>
      <c r="G110" s="150" t="s">
        <v>169</v>
      </c>
      <c r="H110" s="150" t="s">
        <v>170</v>
      </c>
      <c r="I110" s="150" t="str">
        <f>Table1[[#This Row],[Wing]]&amp;-Table1[[#This Row],[Shop No / Office No. / Flat No.]]</f>
        <v>A-307</v>
      </c>
      <c r="J110" s="151">
        <v>44.07</v>
      </c>
      <c r="K110" s="151">
        <f t="shared" si="3"/>
        <v>474.36947999999995</v>
      </c>
      <c r="L110" s="152">
        <f>Table1[[#This Row],[RERA Carpet Area (Sq. Ft.)]]*1.1</f>
        <v>521.80642799999998</v>
      </c>
      <c r="M110" s="150" t="s">
        <v>211</v>
      </c>
      <c r="N110" s="152" t="s">
        <v>266</v>
      </c>
      <c r="O110" s="152"/>
      <c r="P110" s="154"/>
      <c r="Q110" s="154">
        <f>Table1[[#This Row],[Agreement Value as per  Excel]]-Table1[[#This Row],[Amt Received as per Excel]]</f>
        <v>0</v>
      </c>
      <c r="R110" s="155">
        <f t="shared" si="2"/>
        <v>0</v>
      </c>
      <c r="S110" s="160"/>
      <c r="T110" s="161"/>
      <c r="U110" s="157"/>
    </row>
    <row r="111" spans="2:21" x14ac:dyDescent="0.3">
      <c r="B111" s="148">
        <v>84</v>
      </c>
      <c r="C111" s="148" t="s">
        <v>34</v>
      </c>
      <c r="D111" s="149" t="s">
        <v>215</v>
      </c>
      <c r="E111" s="150">
        <v>308</v>
      </c>
      <c r="F111" s="150" t="s">
        <v>253</v>
      </c>
      <c r="G111" s="150" t="s">
        <v>169</v>
      </c>
      <c r="H111" s="150" t="s">
        <v>170</v>
      </c>
      <c r="I111" s="150" t="str">
        <f>Table1[[#This Row],[Wing]]&amp;-Table1[[#This Row],[Shop No / Office No. / Flat No.]]</f>
        <v>A-308</v>
      </c>
      <c r="J111" s="151">
        <v>33.01</v>
      </c>
      <c r="K111" s="151">
        <f t="shared" si="3"/>
        <v>355.31963999999994</v>
      </c>
      <c r="L111" s="152">
        <f>Table1[[#This Row],[RERA Carpet Area (Sq. Ft.)]]*1.1</f>
        <v>390.85160399999995</v>
      </c>
      <c r="M111" s="150" t="s">
        <v>211</v>
      </c>
      <c r="N111" s="152" t="s">
        <v>265</v>
      </c>
      <c r="O111" s="267">
        <v>1411650</v>
      </c>
      <c r="P111" s="268">
        <v>641295</v>
      </c>
      <c r="Q111" s="154">
        <f>Table1[[#This Row],[Agreement Value as per  Excel]]-Table1[[#This Row],[Amt Received as per Excel]]</f>
        <v>770355</v>
      </c>
      <c r="R111" s="155">
        <f t="shared" si="2"/>
        <v>3972.901694935862</v>
      </c>
      <c r="S111" s="160"/>
      <c r="T111" s="161"/>
      <c r="U111" s="157"/>
    </row>
    <row r="112" spans="2:21" x14ac:dyDescent="0.3">
      <c r="B112" s="148">
        <v>85</v>
      </c>
      <c r="C112" s="148" t="s">
        <v>34</v>
      </c>
      <c r="D112" s="149" t="s">
        <v>215</v>
      </c>
      <c r="E112" s="150">
        <v>309</v>
      </c>
      <c r="F112" s="150" t="s">
        <v>251</v>
      </c>
      <c r="G112" s="150" t="s">
        <v>169</v>
      </c>
      <c r="H112" s="150" t="s">
        <v>170</v>
      </c>
      <c r="I112" s="150" t="str">
        <f>Table1[[#This Row],[Wing]]&amp;-Table1[[#This Row],[Shop No / Office No. / Flat No.]]</f>
        <v>A-309</v>
      </c>
      <c r="J112" s="151">
        <v>50.84</v>
      </c>
      <c r="K112" s="151">
        <f t="shared" si="3"/>
        <v>547.24176</v>
      </c>
      <c r="L112" s="152">
        <f>Table1[[#This Row],[RERA Carpet Area (Sq. Ft.)]]*1.1</f>
        <v>601.96593600000006</v>
      </c>
      <c r="M112" s="150" t="s">
        <v>211</v>
      </c>
      <c r="N112" s="152" t="s">
        <v>266</v>
      </c>
      <c r="O112" s="152"/>
      <c r="P112" s="154"/>
      <c r="Q112" s="154">
        <f>Table1[[#This Row],[Agreement Value as per  Excel]]-Table1[[#This Row],[Amt Received as per Excel]]</f>
        <v>0</v>
      </c>
      <c r="R112" s="155">
        <f t="shared" si="2"/>
        <v>0</v>
      </c>
      <c r="S112" s="160"/>
      <c r="T112" s="161"/>
      <c r="U112" s="157"/>
    </row>
    <row r="113" spans="2:21" x14ac:dyDescent="0.3">
      <c r="B113" s="148">
        <v>86</v>
      </c>
      <c r="C113" s="148" t="s">
        <v>34</v>
      </c>
      <c r="D113" s="149" t="s">
        <v>215</v>
      </c>
      <c r="E113" s="150">
        <v>310</v>
      </c>
      <c r="F113" s="150" t="s">
        <v>253</v>
      </c>
      <c r="G113" s="150" t="s">
        <v>169</v>
      </c>
      <c r="H113" s="150" t="s">
        <v>170</v>
      </c>
      <c r="I113" s="150" t="str">
        <f>Table1[[#This Row],[Wing]]&amp;-Table1[[#This Row],[Shop No / Office No. / Flat No.]]</f>
        <v>A-310</v>
      </c>
      <c r="J113" s="151">
        <v>32.799999999999997</v>
      </c>
      <c r="K113" s="151">
        <f t="shared" si="3"/>
        <v>353.05919999999998</v>
      </c>
      <c r="L113" s="152">
        <f>Table1[[#This Row],[RERA Carpet Area (Sq. Ft.)]]*1.1</f>
        <v>388.36511999999999</v>
      </c>
      <c r="M113" s="150" t="s">
        <v>211</v>
      </c>
      <c r="N113" s="152" t="s">
        <v>266</v>
      </c>
      <c r="O113" s="152"/>
      <c r="P113" s="154"/>
      <c r="Q113" s="154">
        <f>Table1[[#This Row],[Agreement Value as per  Excel]]-Table1[[#This Row],[Amt Received as per Excel]]</f>
        <v>0</v>
      </c>
      <c r="R113" s="155">
        <f t="shared" si="2"/>
        <v>0</v>
      </c>
      <c r="S113" s="160"/>
      <c r="T113" s="161"/>
      <c r="U113" s="157"/>
    </row>
    <row r="114" spans="2:21" x14ac:dyDescent="0.3">
      <c r="B114" s="148">
        <v>87</v>
      </c>
      <c r="C114" s="148" t="s">
        <v>34</v>
      </c>
      <c r="D114" s="149" t="s">
        <v>216</v>
      </c>
      <c r="E114" s="150">
        <v>401</v>
      </c>
      <c r="F114" s="150" t="s">
        <v>251</v>
      </c>
      <c r="G114" s="150" t="s">
        <v>169</v>
      </c>
      <c r="H114" s="150" t="s">
        <v>170</v>
      </c>
      <c r="I114" s="150" t="str">
        <f>Table1[[#This Row],[Wing]]&amp;-Table1[[#This Row],[Shop No / Office No. / Flat No.]]</f>
        <v>A-401</v>
      </c>
      <c r="J114" s="151">
        <v>44.07</v>
      </c>
      <c r="K114" s="151">
        <f t="shared" si="3"/>
        <v>474.36947999999995</v>
      </c>
      <c r="L114" s="152">
        <f>Table1[[#This Row],[RERA Carpet Area (Sq. Ft.)]]*1.1</f>
        <v>521.80642799999998</v>
      </c>
      <c r="M114" s="150" t="s">
        <v>211</v>
      </c>
      <c r="N114" s="152" t="s">
        <v>266</v>
      </c>
      <c r="O114" s="152"/>
      <c r="P114" s="154"/>
      <c r="Q114" s="154">
        <f>Table1[[#This Row],[Agreement Value as per  Excel]]-Table1[[#This Row],[Amt Received as per Excel]]</f>
        <v>0</v>
      </c>
      <c r="R114" s="155">
        <f t="shared" si="2"/>
        <v>0</v>
      </c>
      <c r="S114" s="160"/>
      <c r="T114" s="161"/>
      <c r="U114" s="157"/>
    </row>
    <row r="115" spans="2:21" x14ac:dyDescent="0.3">
      <c r="B115" s="148">
        <v>88</v>
      </c>
      <c r="C115" s="148" t="s">
        <v>34</v>
      </c>
      <c r="D115" s="149" t="s">
        <v>216</v>
      </c>
      <c r="E115" s="150">
        <v>402</v>
      </c>
      <c r="F115" s="150" t="s">
        <v>251</v>
      </c>
      <c r="G115" s="150" t="s">
        <v>169</v>
      </c>
      <c r="H115" s="150" t="s">
        <v>170</v>
      </c>
      <c r="I115" s="150" t="str">
        <f>Table1[[#This Row],[Wing]]&amp;-Table1[[#This Row],[Shop No / Office No. / Flat No.]]</f>
        <v>A-402</v>
      </c>
      <c r="J115" s="151">
        <v>44.07</v>
      </c>
      <c r="K115" s="151">
        <f t="shared" si="3"/>
        <v>474.36947999999995</v>
      </c>
      <c r="L115" s="152">
        <f>Table1[[#This Row],[RERA Carpet Area (Sq. Ft.)]]*1.1</f>
        <v>521.80642799999998</v>
      </c>
      <c r="M115" s="150" t="s">
        <v>211</v>
      </c>
      <c r="N115" s="152" t="s">
        <v>266</v>
      </c>
      <c r="O115" s="152"/>
      <c r="P115" s="154"/>
      <c r="Q115" s="154">
        <f>Table1[[#This Row],[Agreement Value as per  Excel]]-Table1[[#This Row],[Amt Received as per Excel]]</f>
        <v>0</v>
      </c>
      <c r="R115" s="155">
        <f t="shared" si="2"/>
        <v>0</v>
      </c>
      <c r="S115" s="160"/>
      <c r="T115" s="161"/>
      <c r="U115" s="157"/>
    </row>
    <row r="116" spans="2:21" hidden="1" x14ac:dyDescent="0.3">
      <c r="B116" s="148">
        <v>89</v>
      </c>
      <c r="C116" s="148" t="s">
        <v>34</v>
      </c>
      <c r="D116" s="149" t="s">
        <v>216</v>
      </c>
      <c r="E116" s="150">
        <v>403</v>
      </c>
      <c r="F116" s="150" t="s">
        <v>254</v>
      </c>
      <c r="G116" s="150" t="s">
        <v>169</v>
      </c>
      <c r="H116" s="150" t="s">
        <v>170</v>
      </c>
      <c r="I116" s="150" t="str">
        <f>Table1[[#This Row],[Wing]]&amp;-Table1[[#This Row],[Shop No / Office No. / Flat No.]]</f>
        <v>A-403</v>
      </c>
      <c r="J116" s="151">
        <v>66.650000000000006</v>
      </c>
      <c r="K116" s="151">
        <f t="shared" si="3"/>
        <v>717.42060000000004</v>
      </c>
      <c r="L116" s="152">
        <f>Table1[[#This Row],[RERA Carpet Area (Sq. Ft.)]]*1.1</f>
        <v>789.16266000000007</v>
      </c>
      <c r="M116" s="150" t="s">
        <v>211</v>
      </c>
      <c r="N116" s="152" t="s">
        <v>168</v>
      </c>
      <c r="O116" s="152">
        <v>15435000</v>
      </c>
      <c r="P116" s="154">
        <v>7500000</v>
      </c>
      <c r="Q116" s="154">
        <f>Table1[[#This Row],[Agreement Value as per  Excel]]-Table1[[#This Row],[Amt Received as per Excel]]</f>
        <v>7935000</v>
      </c>
      <c r="R116" s="155">
        <f t="shared" si="2"/>
        <v>21514.575968406818</v>
      </c>
      <c r="S116" s="160"/>
      <c r="T116" s="161"/>
      <c r="U116" s="157"/>
    </row>
    <row r="117" spans="2:21" hidden="1" x14ac:dyDescent="0.3">
      <c r="B117" s="148">
        <v>90</v>
      </c>
      <c r="C117" s="148" t="s">
        <v>34</v>
      </c>
      <c r="D117" s="149" t="s">
        <v>216</v>
      </c>
      <c r="E117" s="150">
        <v>404</v>
      </c>
      <c r="F117" s="150" t="s">
        <v>254</v>
      </c>
      <c r="G117" s="150" t="s">
        <v>169</v>
      </c>
      <c r="H117" s="150" t="s">
        <v>170</v>
      </c>
      <c r="I117" s="150" t="str">
        <f>Table1[[#This Row],[Wing]]&amp;-Table1[[#This Row],[Shop No / Office No. / Flat No.]]</f>
        <v>A-404</v>
      </c>
      <c r="J117" s="151">
        <v>66.650000000000006</v>
      </c>
      <c r="K117" s="151">
        <f t="shared" si="3"/>
        <v>717.42060000000004</v>
      </c>
      <c r="L117" s="152">
        <f>Table1[[#This Row],[RERA Carpet Area (Sq. Ft.)]]*1.1</f>
        <v>789.16266000000007</v>
      </c>
      <c r="M117" s="150" t="s">
        <v>211</v>
      </c>
      <c r="N117" s="152" t="s">
        <v>168</v>
      </c>
      <c r="O117" s="152">
        <v>16245103</v>
      </c>
      <c r="P117" s="154">
        <v>5000000</v>
      </c>
      <c r="Q117" s="154">
        <f>Table1[[#This Row],[Agreement Value as per  Excel]]-Table1[[#This Row],[Amt Received as per Excel]]</f>
        <v>11245103</v>
      </c>
      <c r="R117" s="155">
        <f t="shared" si="2"/>
        <v>22643.764341308291</v>
      </c>
      <c r="S117" s="160"/>
      <c r="T117" s="161"/>
      <c r="U117" s="157"/>
    </row>
    <row r="118" spans="2:21" x14ac:dyDescent="0.3">
      <c r="B118" s="148">
        <v>91</v>
      </c>
      <c r="C118" s="148" t="s">
        <v>34</v>
      </c>
      <c r="D118" s="149" t="s">
        <v>216</v>
      </c>
      <c r="E118" s="150">
        <v>405</v>
      </c>
      <c r="F118" s="150" t="s">
        <v>251</v>
      </c>
      <c r="G118" s="150" t="s">
        <v>169</v>
      </c>
      <c r="H118" s="150" t="s">
        <v>170</v>
      </c>
      <c r="I118" s="150" t="str">
        <f>Table1[[#This Row],[Wing]]&amp;-Table1[[#This Row],[Shop No / Office No. / Flat No.]]</f>
        <v>A-405</v>
      </c>
      <c r="J118" s="151">
        <v>44.07</v>
      </c>
      <c r="K118" s="151">
        <f t="shared" si="3"/>
        <v>474.36947999999995</v>
      </c>
      <c r="L118" s="152">
        <f>Table1[[#This Row],[RERA Carpet Area (Sq. Ft.)]]*1.1</f>
        <v>521.80642799999998</v>
      </c>
      <c r="M118" s="150" t="s">
        <v>211</v>
      </c>
      <c r="N118" s="152" t="s">
        <v>266</v>
      </c>
      <c r="O118" s="152"/>
      <c r="P118" s="154"/>
      <c r="Q118" s="154">
        <f>Table1[[#This Row],[Agreement Value as per  Excel]]-Table1[[#This Row],[Amt Received as per Excel]]</f>
        <v>0</v>
      </c>
      <c r="R118" s="155">
        <f t="shared" si="2"/>
        <v>0</v>
      </c>
      <c r="S118" s="160"/>
      <c r="T118" s="161"/>
      <c r="U118" s="157"/>
    </row>
    <row r="119" spans="2:21" x14ac:dyDescent="0.3">
      <c r="B119" s="148">
        <v>92</v>
      </c>
      <c r="C119" s="148" t="s">
        <v>34</v>
      </c>
      <c r="D119" s="149" t="s">
        <v>216</v>
      </c>
      <c r="E119" s="150">
        <v>406</v>
      </c>
      <c r="F119" s="150" t="s">
        <v>251</v>
      </c>
      <c r="G119" s="150" t="s">
        <v>169</v>
      </c>
      <c r="H119" s="150" t="s">
        <v>170</v>
      </c>
      <c r="I119" s="150" t="str">
        <f>Table1[[#This Row],[Wing]]&amp;-Table1[[#This Row],[Shop No / Office No. / Flat No.]]</f>
        <v>A-406</v>
      </c>
      <c r="J119" s="151">
        <v>44.13</v>
      </c>
      <c r="K119" s="151">
        <f t="shared" si="3"/>
        <v>475.01531999999997</v>
      </c>
      <c r="L119" s="152">
        <f>Table1[[#This Row],[RERA Carpet Area (Sq. Ft.)]]*1.1</f>
        <v>522.51685199999997</v>
      </c>
      <c r="M119" s="150" t="s">
        <v>211</v>
      </c>
      <c r="N119" s="152" t="s">
        <v>266</v>
      </c>
      <c r="O119" s="152"/>
      <c r="P119" s="154"/>
      <c r="Q119" s="154">
        <f>Table1[[#This Row],[Agreement Value as per  Excel]]-Table1[[#This Row],[Amt Received as per Excel]]</f>
        <v>0</v>
      </c>
      <c r="R119" s="155">
        <f t="shared" si="2"/>
        <v>0</v>
      </c>
      <c r="S119" s="160"/>
      <c r="T119" s="161"/>
      <c r="U119" s="157"/>
    </row>
    <row r="120" spans="2:21" x14ac:dyDescent="0.3">
      <c r="B120" s="148">
        <v>93</v>
      </c>
      <c r="C120" s="148" t="s">
        <v>34</v>
      </c>
      <c r="D120" s="149" t="s">
        <v>216</v>
      </c>
      <c r="E120" s="150">
        <v>407</v>
      </c>
      <c r="F120" s="150" t="s">
        <v>253</v>
      </c>
      <c r="G120" s="150" t="s">
        <v>169</v>
      </c>
      <c r="H120" s="150" t="s">
        <v>170</v>
      </c>
      <c r="I120" s="150" t="str">
        <f>Table1[[#This Row],[Wing]]&amp;-Table1[[#This Row],[Shop No / Office No. / Flat No.]]</f>
        <v>A-407</v>
      </c>
      <c r="J120" s="151">
        <v>33.01</v>
      </c>
      <c r="K120" s="151">
        <f t="shared" si="3"/>
        <v>355.31963999999994</v>
      </c>
      <c r="L120" s="152">
        <f>Table1[[#This Row],[RERA Carpet Area (Sq. Ft.)]]*1.1</f>
        <v>390.85160399999995</v>
      </c>
      <c r="M120" s="150" t="s">
        <v>211</v>
      </c>
      <c r="N120" s="152" t="s">
        <v>266</v>
      </c>
      <c r="O120" s="152"/>
      <c r="P120" s="154"/>
      <c r="Q120" s="154">
        <f>Table1[[#This Row],[Agreement Value as per  Excel]]-Table1[[#This Row],[Amt Received as per Excel]]</f>
        <v>0</v>
      </c>
      <c r="R120" s="155">
        <f t="shared" si="2"/>
        <v>0</v>
      </c>
      <c r="S120" s="160"/>
      <c r="T120" s="161"/>
      <c r="U120" s="157"/>
    </row>
    <row r="121" spans="2:21" x14ac:dyDescent="0.3">
      <c r="B121" s="148">
        <v>94</v>
      </c>
      <c r="C121" s="148" t="s">
        <v>34</v>
      </c>
      <c r="D121" s="149" t="s">
        <v>216</v>
      </c>
      <c r="E121" s="150">
        <v>408</v>
      </c>
      <c r="F121" s="150" t="s">
        <v>251</v>
      </c>
      <c r="G121" s="150" t="s">
        <v>169</v>
      </c>
      <c r="H121" s="150" t="s">
        <v>170</v>
      </c>
      <c r="I121" s="150" t="str">
        <f>Table1[[#This Row],[Wing]]&amp;-Table1[[#This Row],[Shop No / Office No. / Flat No.]]</f>
        <v>A-408</v>
      </c>
      <c r="J121" s="151">
        <v>50.84</v>
      </c>
      <c r="K121" s="151">
        <f t="shared" si="3"/>
        <v>547.24176</v>
      </c>
      <c r="L121" s="152">
        <f>Table1[[#This Row],[RERA Carpet Area (Sq. Ft.)]]*1.1</f>
        <v>601.96593600000006</v>
      </c>
      <c r="M121" s="150" t="s">
        <v>211</v>
      </c>
      <c r="N121" s="152" t="s">
        <v>265</v>
      </c>
      <c r="O121" s="267">
        <v>1270485</v>
      </c>
      <c r="P121" s="268">
        <v>1270485</v>
      </c>
      <c r="Q121" s="154">
        <f>Table1[[#This Row],[Agreement Value as per  Excel]]-Table1[[#This Row],[Amt Received as per Excel]]</f>
        <v>0</v>
      </c>
      <c r="R121" s="155">
        <f t="shared" si="2"/>
        <v>2321.6155872315007</v>
      </c>
      <c r="S121" s="160"/>
      <c r="T121" s="161"/>
      <c r="U121" s="157"/>
    </row>
    <row r="122" spans="2:21" x14ac:dyDescent="0.3">
      <c r="B122" s="148">
        <v>95</v>
      </c>
      <c r="C122" s="148" t="s">
        <v>34</v>
      </c>
      <c r="D122" s="149" t="s">
        <v>216</v>
      </c>
      <c r="E122" s="150">
        <v>409</v>
      </c>
      <c r="F122" s="150" t="s">
        <v>253</v>
      </c>
      <c r="G122" s="150" t="s">
        <v>169</v>
      </c>
      <c r="H122" s="150" t="s">
        <v>170</v>
      </c>
      <c r="I122" s="150" t="str">
        <f>Table1[[#This Row],[Wing]]&amp;-Table1[[#This Row],[Shop No / Office No. / Flat No.]]</f>
        <v>A-409</v>
      </c>
      <c r="J122" s="151">
        <v>32.799999999999997</v>
      </c>
      <c r="K122" s="151">
        <f t="shared" si="3"/>
        <v>353.05919999999998</v>
      </c>
      <c r="L122" s="152">
        <f>Table1[[#This Row],[RERA Carpet Area (Sq. Ft.)]]*1.1</f>
        <v>388.36511999999999</v>
      </c>
      <c r="M122" s="150" t="s">
        <v>211</v>
      </c>
      <c r="N122" s="152" t="s">
        <v>266</v>
      </c>
      <c r="O122" s="152"/>
      <c r="P122" s="154"/>
      <c r="Q122" s="154">
        <f>Table1[[#This Row],[Agreement Value as per  Excel]]-Table1[[#This Row],[Amt Received as per Excel]]</f>
        <v>0</v>
      </c>
      <c r="R122" s="155">
        <f t="shared" si="2"/>
        <v>0</v>
      </c>
      <c r="S122" s="160"/>
      <c r="T122" s="161"/>
      <c r="U122" s="157"/>
    </row>
    <row r="123" spans="2:21" x14ac:dyDescent="0.3">
      <c r="B123" s="148">
        <v>96</v>
      </c>
      <c r="C123" s="148" t="s">
        <v>34</v>
      </c>
      <c r="D123" s="149" t="s">
        <v>216</v>
      </c>
      <c r="E123" s="150">
        <v>410</v>
      </c>
      <c r="F123" s="150" t="s">
        <v>253</v>
      </c>
      <c r="G123" s="150" t="s">
        <v>169</v>
      </c>
      <c r="H123" s="150" t="s">
        <v>170</v>
      </c>
      <c r="I123" s="150" t="str">
        <f>Table1[[#This Row],[Wing]]&amp;-Table1[[#This Row],[Shop No / Office No. / Flat No.]]</f>
        <v>A-410</v>
      </c>
      <c r="J123" s="151">
        <v>33.01</v>
      </c>
      <c r="K123" s="151">
        <f t="shared" si="3"/>
        <v>355.31963999999994</v>
      </c>
      <c r="L123" s="152">
        <f>Table1[[#This Row],[RERA Carpet Area (Sq. Ft.)]]*1.1</f>
        <v>390.85160399999995</v>
      </c>
      <c r="M123" s="150" t="s">
        <v>211</v>
      </c>
      <c r="N123" s="152" t="s">
        <v>266</v>
      </c>
      <c r="O123" s="152"/>
      <c r="P123" s="154"/>
      <c r="Q123" s="154">
        <f>Table1[[#This Row],[Agreement Value as per  Excel]]-Table1[[#This Row],[Amt Received as per Excel]]</f>
        <v>0</v>
      </c>
      <c r="R123" s="155">
        <f t="shared" si="2"/>
        <v>0</v>
      </c>
      <c r="S123" s="160"/>
      <c r="T123" s="161"/>
      <c r="U123" s="157"/>
    </row>
    <row r="124" spans="2:21" x14ac:dyDescent="0.3">
      <c r="B124" s="148">
        <v>97</v>
      </c>
      <c r="C124" s="148" t="s">
        <v>34</v>
      </c>
      <c r="D124" s="149" t="s">
        <v>217</v>
      </c>
      <c r="E124" s="150">
        <v>501</v>
      </c>
      <c r="F124" s="150" t="s">
        <v>251</v>
      </c>
      <c r="G124" s="150" t="s">
        <v>169</v>
      </c>
      <c r="H124" s="150" t="s">
        <v>170</v>
      </c>
      <c r="I124" s="150" t="str">
        <f>Table1[[#This Row],[Wing]]&amp;-Table1[[#This Row],[Shop No / Office No. / Flat No.]]</f>
        <v>A-501</v>
      </c>
      <c r="J124" s="151">
        <v>44.07</v>
      </c>
      <c r="K124" s="151">
        <f t="shared" si="3"/>
        <v>474.36947999999995</v>
      </c>
      <c r="L124" s="152">
        <f>Table1[[#This Row],[RERA Carpet Area (Sq. Ft.)]]*1.1</f>
        <v>521.80642799999998</v>
      </c>
      <c r="M124" s="150" t="s">
        <v>211</v>
      </c>
      <c r="N124" s="152" t="s">
        <v>266</v>
      </c>
      <c r="O124" s="152"/>
      <c r="P124" s="154"/>
      <c r="Q124" s="154">
        <f>Table1[[#This Row],[Agreement Value as per  Excel]]-Table1[[#This Row],[Amt Received as per Excel]]</f>
        <v>0</v>
      </c>
      <c r="R124" s="155">
        <f t="shared" si="2"/>
        <v>0</v>
      </c>
      <c r="S124" s="160"/>
      <c r="T124" s="161"/>
      <c r="U124" s="157"/>
    </row>
    <row r="125" spans="2:21" x14ac:dyDescent="0.3">
      <c r="B125" s="148">
        <v>98</v>
      </c>
      <c r="C125" s="148" t="s">
        <v>34</v>
      </c>
      <c r="D125" s="149" t="s">
        <v>217</v>
      </c>
      <c r="E125" s="150">
        <v>502</v>
      </c>
      <c r="F125" s="150" t="s">
        <v>251</v>
      </c>
      <c r="G125" s="150" t="s">
        <v>169</v>
      </c>
      <c r="H125" s="150" t="s">
        <v>170</v>
      </c>
      <c r="I125" s="150" t="str">
        <f>Table1[[#This Row],[Wing]]&amp;-Table1[[#This Row],[Shop No / Office No. / Flat No.]]</f>
        <v>A-502</v>
      </c>
      <c r="J125" s="151">
        <v>44.07</v>
      </c>
      <c r="K125" s="151">
        <f t="shared" si="3"/>
        <v>474.36947999999995</v>
      </c>
      <c r="L125" s="152">
        <f>Table1[[#This Row],[RERA Carpet Area (Sq. Ft.)]]*1.1</f>
        <v>521.80642799999998</v>
      </c>
      <c r="M125" s="150" t="s">
        <v>211</v>
      </c>
      <c r="N125" s="152" t="s">
        <v>266</v>
      </c>
      <c r="O125" s="152"/>
      <c r="P125" s="154"/>
      <c r="Q125" s="154">
        <f>Table1[[#This Row],[Agreement Value as per  Excel]]-Table1[[#This Row],[Amt Received as per Excel]]</f>
        <v>0</v>
      </c>
      <c r="R125" s="155">
        <f t="shared" si="2"/>
        <v>0</v>
      </c>
      <c r="S125" s="160"/>
      <c r="T125" s="161"/>
      <c r="U125" s="157"/>
    </row>
    <row r="126" spans="2:21" x14ac:dyDescent="0.3">
      <c r="B126" s="148">
        <v>99</v>
      </c>
      <c r="C126" s="148" t="s">
        <v>34</v>
      </c>
      <c r="D126" s="149" t="s">
        <v>217</v>
      </c>
      <c r="E126" s="150">
        <v>503</v>
      </c>
      <c r="F126" s="150" t="s">
        <v>254</v>
      </c>
      <c r="G126" s="150" t="s">
        <v>169</v>
      </c>
      <c r="H126" s="150" t="s">
        <v>166</v>
      </c>
      <c r="I126" s="150" t="str">
        <f>Table1[[#This Row],[Wing]]&amp;-Table1[[#This Row],[Shop No / Office No. / Flat No.]]</f>
        <v>A-503</v>
      </c>
      <c r="J126" s="151">
        <v>66.650000000000006</v>
      </c>
      <c r="K126" s="151">
        <f t="shared" si="3"/>
        <v>717.42060000000004</v>
      </c>
      <c r="L126" s="152">
        <f>Table1[[#This Row],[RERA Carpet Area (Sq. Ft.)]]*1.1</f>
        <v>789.16266000000007</v>
      </c>
      <c r="M126" s="150" t="s">
        <v>167</v>
      </c>
      <c r="N126" s="152" t="s">
        <v>266</v>
      </c>
      <c r="O126" s="152"/>
      <c r="P126" s="154"/>
      <c r="Q126" s="154">
        <f>Table1[[#This Row],[Agreement Value as per  Excel]]-Table1[[#This Row],[Amt Received as per Excel]]</f>
        <v>0</v>
      </c>
      <c r="R126" s="155">
        <f t="shared" si="2"/>
        <v>0</v>
      </c>
      <c r="S126" s="160"/>
      <c r="T126" s="161"/>
      <c r="U126" s="157"/>
    </row>
    <row r="127" spans="2:21" x14ac:dyDescent="0.3">
      <c r="B127" s="148">
        <v>100</v>
      </c>
      <c r="C127" s="148" t="s">
        <v>34</v>
      </c>
      <c r="D127" s="149" t="s">
        <v>217</v>
      </c>
      <c r="E127" s="150">
        <v>504</v>
      </c>
      <c r="F127" s="150" t="s">
        <v>254</v>
      </c>
      <c r="G127" s="150" t="s">
        <v>169</v>
      </c>
      <c r="H127" s="150" t="s">
        <v>170</v>
      </c>
      <c r="I127" s="150" t="str">
        <f>Table1[[#This Row],[Wing]]&amp;-Table1[[#This Row],[Shop No / Office No. / Flat No.]]</f>
        <v>A-504</v>
      </c>
      <c r="J127" s="151">
        <v>66.650000000000006</v>
      </c>
      <c r="K127" s="151">
        <f t="shared" si="3"/>
        <v>717.42060000000004</v>
      </c>
      <c r="L127" s="152">
        <f>Table1[[#This Row],[RERA Carpet Area (Sq. Ft.)]]*1.1</f>
        <v>789.16266000000007</v>
      </c>
      <c r="M127" s="150" t="s">
        <v>211</v>
      </c>
      <c r="N127" s="152" t="s">
        <v>265</v>
      </c>
      <c r="O127" s="267">
        <v>6845500</v>
      </c>
      <c r="P127" s="268">
        <v>3728065</v>
      </c>
      <c r="Q127" s="154">
        <f>Table1[[#This Row],[Agreement Value as per  Excel]]-Table1[[#This Row],[Amt Received as per Excel]]</f>
        <v>3117435</v>
      </c>
      <c r="R127" s="155">
        <f t="shared" si="2"/>
        <v>9541.8224678800689</v>
      </c>
      <c r="S127" s="160"/>
      <c r="T127" s="161"/>
      <c r="U127" s="157"/>
    </row>
    <row r="128" spans="2:21" x14ac:dyDescent="0.3">
      <c r="B128" s="148">
        <v>101</v>
      </c>
      <c r="C128" s="148" t="s">
        <v>34</v>
      </c>
      <c r="D128" s="149" t="s">
        <v>217</v>
      </c>
      <c r="E128" s="150">
        <v>505</v>
      </c>
      <c r="F128" s="150" t="s">
        <v>251</v>
      </c>
      <c r="G128" s="150" t="s">
        <v>169</v>
      </c>
      <c r="H128" s="150" t="s">
        <v>170</v>
      </c>
      <c r="I128" s="150" t="str">
        <f>Table1[[#This Row],[Wing]]&amp;-Table1[[#This Row],[Shop No / Office No. / Flat No.]]</f>
        <v>A-505</v>
      </c>
      <c r="J128" s="151">
        <v>44.07</v>
      </c>
      <c r="K128" s="151">
        <f t="shared" si="3"/>
        <v>474.36947999999995</v>
      </c>
      <c r="L128" s="152">
        <f>Table1[[#This Row],[RERA Carpet Area (Sq. Ft.)]]*1.1</f>
        <v>521.80642799999998</v>
      </c>
      <c r="M128" s="150" t="s">
        <v>211</v>
      </c>
      <c r="N128" s="152" t="s">
        <v>266</v>
      </c>
      <c r="O128" s="152"/>
      <c r="P128" s="154"/>
      <c r="Q128" s="154">
        <f>Table1[[#This Row],[Agreement Value as per  Excel]]-Table1[[#This Row],[Amt Received as per Excel]]</f>
        <v>0</v>
      </c>
      <c r="R128" s="155">
        <f t="shared" si="2"/>
        <v>0</v>
      </c>
      <c r="S128" s="160"/>
      <c r="T128" s="161"/>
      <c r="U128" s="157"/>
    </row>
    <row r="129" spans="2:21" x14ac:dyDescent="0.3">
      <c r="B129" s="148">
        <v>102</v>
      </c>
      <c r="C129" s="148" t="s">
        <v>34</v>
      </c>
      <c r="D129" s="149" t="s">
        <v>217</v>
      </c>
      <c r="E129" s="150">
        <v>506</v>
      </c>
      <c r="F129" s="150" t="s">
        <v>251</v>
      </c>
      <c r="G129" s="150" t="s">
        <v>169</v>
      </c>
      <c r="H129" s="150" t="s">
        <v>170</v>
      </c>
      <c r="I129" s="150" t="str">
        <f>Table1[[#This Row],[Wing]]&amp;-Table1[[#This Row],[Shop No / Office No. / Flat No.]]</f>
        <v>A-506</v>
      </c>
      <c r="J129" s="151">
        <v>44.13</v>
      </c>
      <c r="K129" s="151">
        <f t="shared" si="3"/>
        <v>475.01531999999997</v>
      </c>
      <c r="L129" s="152">
        <f>Table1[[#This Row],[RERA Carpet Area (Sq. Ft.)]]*1.1</f>
        <v>522.51685199999997</v>
      </c>
      <c r="M129" s="150" t="s">
        <v>211</v>
      </c>
      <c r="N129" s="152" t="s">
        <v>265</v>
      </c>
      <c r="O129" s="267">
        <v>2146000</v>
      </c>
      <c r="P129" s="268">
        <v>2146000</v>
      </c>
      <c r="Q129" s="154">
        <f>Table1[[#This Row],[Agreement Value as per  Excel]]-Table1[[#This Row],[Amt Received as per Excel]]</f>
        <v>0</v>
      </c>
      <c r="R129" s="155">
        <f t="shared" si="2"/>
        <v>4517.7490275471537</v>
      </c>
      <c r="S129" s="160"/>
      <c r="T129" s="161"/>
      <c r="U129" s="157"/>
    </row>
    <row r="130" spans="2:21" x14ac:dyDescent="0.3">
      <c r="B130" s="148">
        <v>103</v>
      </c>
      <c r="C130" s="148" t="s">
        <v>34</v>
      </c>
      <c r="D130" s="149" t="s">
        <v>217</v>
      </c>
      <c r="E130" s="150">
        <v>507</v>
      </c>
      <c r="F130" s="150" t="s">
        <v>253</v>
      </c>
      <c r="G130" s="150" t="s">
        <v>169</v>
      </c>
      <c r="H130" s="150" t="s">
        <v>170</v>
      </c>
      <c r="I130" s="150" t="str">
        <f>Table1[[#This Row],[Wing]]&amp;-Table1[[#This Row],[Shop No / Office No. / Flat No.]]</f>
        <v>A-507</v>
      </c>
      <c r="J130" s="151">
        <v>33.01</v>
      </c>
      <c r="K130" s="151">
        <f t="shared" si="3"/>
        <v>355.31963999999994</v>
      </c>
      <c r="L130" s="152">
        <f>Table1[[#This Row],[RERA Carpet Area (Sq. Ft.)]]*1.1</f>
        <v>390.85160399999995</v>
      </c>
      <c r="M130" s="150" t="s">
        <v>211</v>
      </c>
      <c r="N130" s="152" t="s">
        <v>266</v>
      </c>
      <c r="O130" s="152"/>
      <c r="P130" s="154"/>
      <c r="Q130" s="154">
        <f>Table1[[#This Row],[Agreement Value as per  Excel]]-Table1[[#This Row],[Amt Received as per Excel]]</f>
        <v>0</v>
      </c>
      <c r="R130" s="155">
        <f t="shared" si="2"/>
        <v>0</v>
      </c>
      <c r="S130" s="160"/>
      <c r="T130" s="161"/>
      <c r="U130" s="157"/>
    </row>
    <row r="131" spans="2:21" x14ac:dyDescent="0.3">
      <c r="B131" s="148">
        <v>104</v>
      </c>
      <c r="C131" s="148" t="s">
        <v>34</v>
      </c>
      <c r="D131" s="149" t="s">
        <v>217</v>
      </c>
      <c r="E131" s="150">
        <v>508</v>
      </c>
      <c r="F131" s="150" t="s">
        <v>251</v>
      </c>
      <c r="G131" s="150" t="s">
        <v>169</v>
      </c>
      <c r="H131" s="150" t="s">
        <v>170</v>
      </c>
      <c r="I131" s="150" t="str">
        <f>Table1[[#This Row],[Wing]]&amp;-Table1[[#This Row],[Shop No / Office No. / Flat No.]]</f>
        <v>A-508</v>
      </c>
      <c r="J131" s="151">
        <v>50.84</v>
      </c>
      <c r="K131" s="151">
        <f t="shared" si="3"/>
        <v>547.24176</v>
      </c>
      <c r="L131" s="152">
        <f>Table1[[#This Row],[RERA Carpet Area (Sq. Ft.)]]*1.1</f>
        <v>601.96593600000006</v>
      </c>
      <c r="M131" s="150" t="s">
        <v>211</v>
      </c>
      <c r="N131" s="152" t="s">
        <v>265</v>
      </c>
      <c r="O131" s="267">
        <v>1270485</v>
      </c>
      <c r="P131" s="268">
        <v>1270485</v>
      </c>
      <c r="Q131" s="154">
        <f>Table1[[#This Row],[Agreement Value as per  Excel]]-Table1[[#This Row],[Amt Received as per Excel]]</f>
        <v>0</v>
      </c>
      <c r="R131" s="155">
        <f t="shared" ref="R131:R194" si="4">IFERROR(O131/K131,0)</f>
        <v>2321.6155872315007</v>
      </c>
      <c r="S131" s="160"/>
      <c r="T131" s="161"/>
      <c r="U131" s="157"/>
    </row>
    <row r="132" spans="2:21" x14ac:dyDescent="0.3">
      <c r="B132" s="148">
        <v>105</v>
      </c>
      <c r="C132" s="148" t="s">
        <v>34</v>
      </c>
      <c r="D132" s="149" t="s">
        <v>217</v>
      </c>
      <c r="E132" s="150">
        <v>509</v>
      </c>
      <c r="F132" s="150" t="s">
        <v>253</v>
      </c>
      <c r="G132" s="150" t="s">
        <v>169</v>
      </c>
      <c r="H132" s="150" t="s">
        <v>170</v>
      </c>
      <c r="I132" s="150" t="str">
        <f>Table1[[#This Row],[Wing]]&amp;-Table1[[#This Row],[Shop No / Office No. / Flat No.]]</f>
        <v>A-509</v>
      </c>
      <c r="J132" s="151">
        <v>34.520000000000003</v>
      </c>
      <c r="K132" s="151">
        <f t="shared" si="3"/>
        <v>371.57328000000001</v>
      </c>
      <c r="L132" s="152">
        <f>Table1[[#This Row],[RERA Carpet Area (Sq. Ft.)]]*1.1</f>
        <v>408.73060800000002</v>
      </c>
      <c r="M132" s="150" t="s">
        <v>211</v>
      </c>
      <c r="N132" s="152" t="s">
        <v>265</v>
      </c>
      <c r="O132" s="267">
        <v>5152557</v>
      </c>
      <c r="P132" s="268">
        <v>1420032</v>
      </c>
      <c r="Q132" s="154">
        <f>Table1[[#This Row],[Agreement Value as per  Excel]]-Table1[[#This Row],[Amt Received as per Excel]]</f>
        <v>3732525</v>
      </c>
      <c r="R132" s="155">
        <f t="shared" si="4"/>
        <v>13866.866315037507</v>
      </c>
      <c r="S132" s="160"/>
      <c r="T132" s="161"/>
      <c r="U132" s="157"/>
    </row>
    <row r="133" spans="2:21" x14ac:dyDescent="0.3">
      <c r="B133" s="148">
        <v>106</v>
      </c>
      <c r="C133" s="148" t="s">
        <v>34</v>
      </c>
      <c r="D133" s="149" t="s">
        <v>217</v>
      </c>
      <c r="E133" s="150">
        <v>510</v>
      </c>
      <c r="F133" s="150" t="s">
        <v>253</v>
      </c>
      <c r="G133" s="150" t="s">
        <v>169</v>
      </c>
      <c r="H133" s="150" t="s">
        <v>170</v>
      </c>
      <c r="I133" s="150" t="str">
        <f>Table1[[#This Row],[Wing]]&amp;-Table1[[#This Row],[Shop No / Office No. / Flat No.]]</f>
        <v>A-510</v>
      </c>
      <c r="J133" s="151">
        <v>33.01</v>
      </c>
      <c r="K133" s="151">
        <f t="shared" si="3"/>
        <v>355.31963999999994</v>
      </c>
      <c r="L133" s="152">
        <f>Table1[[#This Row],[RERA Carpet Area (Sq. Ft.)]]*1.1</f>
        <v>390.85160399999995</v>
      </c>
      <c r="M133" s="150" t="s">
        <v>211</v>
      </c>
      <c r="N133" s="152" t="s">
        <v>266</v>
      </c>
      <c r="O133" s="152"/>
      <c r="P133" s="154"/>
      <c r="Q133" s="154">
        <f>Table1[[#This Row],[Agreement Value as per  Excel]]-Table1[[#This Row],[Amt Received as per Excel]]</f>
        <v>0</v>
      </c>
      <c r="R133" s="155">
        <f t="shared" si="4"/>
        <v>0</v>
      </c>
      <c r="S133" s="160"/>
      <c r="T133" s="161"/>
      <c r="U133" s="157"/>
    </row>
    <row r="134" spans="2:21" x14ac:dyDescent="0.3">
      <c r="B134" s="148">
        <v>107</v>
      </c>
      <c r="C134" s="148" t="s">
        <v>34</v>
      </c>
      <c r="D134" s="149" t="s">
        <v>218</v>
      </c>
      <c r="E134" s="150">
        <v>601</v>
      </c>
      <c r="F134" s="150" t="s">
        <v>251</v>
      </c>
      <c r="G134" s="150" t="s">
        <v>169</v>
      </c>
      <c r="H134" s="150" t="s">
        <v>170</v>
      </c>
      <c r="I134" s="150" t="str">
        <f>Table1[[#This Row],[Wing]]&amp;-Table1[[#This Row],[Shop No / Office No. / Flat No.]]</f>
        <v>A-601</v>
      </c>
      <c r="J134" s="151">
        <v>44.07</v>
      </c>
      <c r="K134" s="151">
        <f t="shared" si="3"/>
        <v>474.36947999999995</v>
      </c>
      <c r="L134" s="152">
        <f>Table1[[#This Row],[RERA Carpet Area (Sq. Ft.)]]*1.1</f>
        <v>521.80642799999998</v>
      </c>
      <c r="M134" s="150" t="s">
        <v>211</v>
      </c>
      <c r="N134" s="152" t="s">
        <v>266</v>
      </c>
      <c r="O134" s="152"/>
      <c r="P134" s="154"/>
      <c r="Q134" s="154">
        <f>Table1[[#This Row],[Agreement Value as per  Excel]]-Table1[[#This Row],[Amt Received as per Excel]]</f>
        <v>0</v>
      </c>
      <c r="R134" s="155">
        <f t="shared" si="4"/>
        <v>0</v>
      </c>
      <c r="S134" s="160"/>
      <c r="T134" s="161"/>
      <c r="U134" s="157"/>
    </row>
    <row r="135" spans="2:21" x14ac:dyDescent="0.3">
      <c r="B135" s="148">
        <v>108</v>
      </c>
      <c r="C135" s="148" t="s">
        <v>34</v>
      </c>
      <c r="D135" s="149" t="s">
        <v>218</v>
      </c>
      <c r="E135" s="150">
        <v>602</v>
      </c>
      <c r="F135" s="150" t="s">
        <v>251</v>
      </c>
      <c r="G135" s="150" t="s">
        <v>169</v>
      </c>
      <c r="H135" s="150" t="s">
        <v>170</v>
      </c>
      <c r="I135" s="150" t="str">
        <f>Table1[[#This Row],[Wing]]&amp;-Table1[[#This Row],[Shop No / Office No. / Flat No.]]</f>
        <v>A-602</v>
      </c>
      <c r="J135" s="151">
        <v>44.07</v>
      </c>
      <c r="K135" s="151">
        <f t="shared" si="3"/>
        <v>474.36947999999995</v>
      </c>
      <c r="L135" s="152">
        <f>Table1[[#This Row],[RERA Carpet Area (Sq. Ft.)]]*1.1</f>
        <v>521.80642799999998</v>
      </c>
      <c r="M135" s="150" t="s">
        <v>211</v>
      </c>
      <c r="N135" s="152" t="s">
        <v>265</v>
      </c>
      <c r="O135" s="267">
        <f>17*20000</f>
        <v>340000</v>
      </c>
      <c r="P135" s="268">
        <v>100000</v>
      </c>
      <c r="Q135" s="154">
        <f>Table1[[#This Row],[Agreement Value as per  Excel]]-Table1[[#This Row],[Amt Received as per Excel]]</f>
        <v>240000</v>
      </c>
      <c r="R135" s="155">
        <f t="shared" si="4"/>
        <v>716.7408830770479</v>
      </c>
      <c r="S135" s="160"/>
      <c r="T135" s="161"/>
      <c r="U135" s="157"/>
    </row>
    <row r="136" spans="2:21" x14ac:dyDescent="0.3">
      <c r="B136" s="148">
        <v>109</v>
      </c>
      <c r="C136" s="148" t="s">
        <v>34</v>
      </c>
      <c r="D136" s="149" t="s">
        <v>218</v>
      </c>
      <c r="E136" s="150">
        <v>603</v>
      </c>
      <c r="F136" s="150" t="s">
        <v>254</v>
      </c>
      <c r="G136" s="150" t="s">
        <v>169</v>
      </c>
      <c r="H136" s="150" t="s">
        <v>170</v>
      </c>
      <c r="I136" s="150" t="str">
        <f>Table1[[#This Row],[Wing]]&amp;-Table1[[#This Row],[Shop No / Office No. / Flat No.]]</f>
        <v>A-603</v>
      </c>
      <c r="J136" s="151">
        <v>66.650000000000006</v>
      </c>
      <c r="K136" s="151">
        <f t="shared" si="3"/>
        <v>717.42060000000004</v>
      </c>
      <c r="L136" s="152">
        <f>Table1[[#This Row],[RERA Carpet Area (Sq. Ft.)]]*1.1</f>
        <v>789.16266000000007</v>
      </c>
      <c r="M136" s="153" t="s">
        <v>211</v>
      </c>
      <c r="N136" s="152" t="s">
        <v>266</v>
      </c>
      <c r="O136" s="152"/>
      <c r="P136" s="154"/>
      <c r="Q136" s="154">
        <f>Table1[[#This Row],[Agreement Value as per  Excel]]-Table1[[#This Row],[Amt Received as per Excel]]</f>
        <v>0</v>
      </c>
      <c r="R136" s="155">
        <f t="shared" si="4"/>
        <v>0</v>
      </c>
      <c r="S136" s="160"/>
      <c r="T136" s="161"/>
      <c r="U136" s="157"/>
    </row>
    <row r="137" spans="2:21" x14ac:dyDescent="0.3">
      <c r="B137" s="148">
        <v>110</v>
      </c>
      <c r="C137" s="148" t="s">
        <v>34</v>
      </c>
      <c r="D137" s="149" t="s">
        <v>218</v>
      </c>
      <c r="E137" s="150">
        <v>604</v>
      </c>
      <c r="F137" s="150" t="s">
        <v>254</v>
      </c>
      <c r="G137" s="150" t="s">
        <v>169</v>
      </c>
      <c r="H137" s="150" t="s">
        <v>170</v>
      </c>
      <c r="I137" s="150" t="str">
        <f>Table1[[#This Row],[Wing]]&amp;-Table1[[#This Row],[Shop No / Office No. / Flat No.]]</f>
        <v>A-604</v>
      </c>
      <c r="J137" s="151">
        <v>66.650000000000006</v>
      </c>
      <c r="K137" s="151">
        <f t="shared" si="3"/>
        <v>717.42060000000004</v>
      </c>
      <c r="L137" s="152">
        <f>Table1[[#This Row],[RERA Carpet Area (Sq. Ft.)]]*1.1</f>
        <v>789.16266000000007</v>
      </c>
      <c r="M137" s="150" t="s">
        <v>211</v>
      </c>
      <c r="N137" s="152" t="s">
        <v>265</v>
      </c>
      <c r="O137" s="267">
        <f>260.42*20000</f>
        <v>5208400</v>
      </c>
      <c r="P137" s="268">
        <v>0</v>
      </c>
      <c r="Q137" s="154">
        <f>Table1[[#This Row],[Agreement Value as per  Excel]]-Table1[[#This Row],[Amt Received as per Excel]]</f>
        <v>5208400</v>
      </c>
      <c r="R137" s="155">
        <f t="shared" si="4"/>
        <v>7259.8974715808272</v>
      </c>
      <c r="S137" s="160"/>
      <c r="T137" s="161"/>
      <c r="U137" s="157"/>
    </row>
    <row r="138" spans="2:21" x14ac:dyDescent="0.3">
      <c r="B138" s="148">
        <v>111</v>
      </c>
      <c r="C138" s="148" t="s">
        <v>34</v>
      </c>
      <c r="D138" s="149" t="s">
        <v>218</v>
      </c>
      <c r="E138" s="150">
        <v>605</v>
      </c>
      <c r="F138" s="150" t="s">
        <v>251</v>
      </c>
      <c r="G138" s="150" t="s">
        <v>169</v>
      </c>
      <c r="H138" s="150" t="s">
        <v>170</v>
      </c>
      <c r="I138" s="150" t="str">
        <f>Table1[[#This Row],[Wing]]&amp;-Table1[[#This Row],[Shop No / Office No. / Flat No.]]</f>
        <v>A-605</v>
      </c>
      <c r="J138" s="151">
        <v>44.07</v>
      </c>
      <c r="K138" s="151">
        <f t="shared" si="3"/>
        <v>474.36947999999995</v>
      </c>
      <c r="L138" s="152">
        <f>Table1[[#This Row],[RERA Carpet Area (Sq. Ft.)]]*1.1</f>
        <v>521.80642799999998</v>
      </c>
      <c r="M138" s="150" t="s">
        <v>211</v>
      </c>
      <c r="N138" s="152" t="s">
        <v>266</v>
      </c>
      <c r="O138" s="152"/>
      <c r="P138" s="154"/>
      <c r="Q138" s="154">
        <f>Table1[[#This Row],[Agreement Value as per  Excel]]-Table1[[#This Row],[Amt Received as per Excel]]</f>
        <v>0</v>
      </c>
      <c r="R138" s="155">
        <f t="shared" si="4"/>
        <v>0</v>
      </c>
      <c r="S138" s="160"/>
      <c r="T138" s="161"/>
      <c r="U138" s="157"/>
    </row>
    <row r="139" spans="2:21" x14ac:dyDescent="0.3">
      <c r="B139" s="148">
        <v>112</v>
      </c>
      <c r="C139" s="148" t="s">
        <v>34</v>
      </c>
      <c r="D139" s="149" t="s">
        <v>218</v>
      </c>
      <c r="E139" s="150">
        <v>606</v>
      </c>
      <c r="F139" s="150" t="s">
        <v>251</v>
      </c>
      <c r="G139" s="150" t="s">
        <v>169</v>
      </c>
      <c r="H139" s="150" t="s">
        <v>170</v>
      </c>
      <c r="I139" s="150" t="str">
        <f>Table1[[#This Row],[Wing]]&amp;-Table1[[#This Row],[Shop No / Office No. / Flat No.]]</f>
        <v>A-606</v>
      </c>
      <c r="J139" s="151">
        <v>44.13</v>
      </c>
      <c r="K139" s="151">
        <f t="shared" si="3"/>
        <v>475.01531999999997</v>
      </c>
      <c r="L139" s="152">
        <f>Table1[[#This Row],[RERA Carpet Area (Sq. Ft.)]]*1.1</f>
        <v>522.51685199999997</v>
      </c>
      <c r="M139" s="150" t="s">
        <v>211</v>
      </c>
      <c r="N139" s="152" t="s">
        <v>266</v>
      </c>
      <c r="O139" s="152"/>
      <c r="P139" s="154"/>
      <c r="Q139" s="154">
        <f>Table1[[#This Row],[Agreement Value as per  Excel]]-Table1[[#This Row],[Amt Received as per Excel]]</f>
        <v>0</v>
      </c>
      <c r="R139" s="155">
        <f t="shared" si="4"/>
        <v>0</v>
      </c>
      <c r="S139" s="160"/>
      <c r="T139" s="161"/>
      <c r="U139" s="157"/>
    </row>
    <row r="140" spans="2:21" x14ac:dyDescent="0.3">
      <c r="B140" s="148">
        <v>113</v>
      </c>
      <c r="C140" s="148" t="s">
        <v>34</v>
      </c>
      <c r="D140" s="149" t="s">
        <v>218</v>
      </c>
      <c r="E140" s="150">
        <v>607</v>
      </c>
      <c r="F140" s="150" t="s">
        <v>253</v>
      </c>
      <c r="G140" s="150" t="s">
        <v>169</v>
      </c>
      <c r="H140" s="150" t="s">
        <v>170</v>
      </c>
      <c r="I140" s="150" t="str">
        <f>Table1[[#This Row],[Wing]]&amp;-Table1[[#This Row],[Shop No / Office No. / Flat No.]]</f>
        <v>A-607</v>
      </c>
      <c r="J140" s="151">
        <v>33.01</v>
      </c>
      <c r="K140" s="151">
        <f t="shared" si="3"/>
        <v>355.31963999999994</v>
      </c>
      <c r="L140" s="152">
        <f>Table1[[#This Row],[RERA Carpet Area (Sq. Ft.)]]*1.1</f>
        <v>390.85160399999995</v>
      </c>
      <c r="M140" s="150" t="s">
        <v>211</v>
      </c>
      <c r="N140" s="152" t="s">
        <v>266</v>
      </c>
      <c r="O140" s="152"/>
      <c r="P140" s="154"/>
      <c r="Q140" s="154">
        <f>Table1[[#This Row],[Agreement Value as per  Excel]]-Table1[[#This Row],[Amt Received as per Excel]]</f>
        <v>0</v>
      </c>
      <c r="R140" s="155">
        <f t="shared" si="4"/>
        <v>0</v>
      </c>
      <c r="S140" s="160"/>
      <c r="T140" s="161"/>
      <c r="U140" s="157"/>
    </row>
    <row r="141" spans="2:21" x14ac:dyDescent="0.3">
      <c r="B141" s="148">
        <v>114</v>
      </c>
      <c r="C141" s="148" t="s">
        <v>34</v>
      </c>
      <c r="D141" s="149" t="s">
        <v>218</v>
      </c>
      <c r="E141" s="150">
        <v>608</v>
      </c>
      <c r="F141" s="150" t="s">
        <v>251</v>
      </c>
      <c r="G141" s="150" t="s">
        <v>169</v>
      </c>
      <c r="H141" s="150" t="s">
        <v>170</v>
      </c>
      <c r="I141" s="150" t="str">
        <f>Table1[[#This Row],[Wing]]&amp;-Table1[[#This Row],[Shop No / Office No. / Flat No.]]</f>
        <v>A-608</v>
      </c>
      <c r="J141" s="151">
        <v>50.84</v>
      </c>
      <c r="K141" s="151">
        <f t="shared" si="3"/>
        <v>547.24176</v>
      </c>
      <c r="L141" s="152">
        <f>Table1[[#This Row],[RERA Carpet Area (Sq. Ft.)]]*1.1</f>
        <v>601.96593600000006</v>
      </c>
      <c r="M141" s="150" t="s">
        <v>211</v>
      </c>
      <c r="N141" s="152" t="s">
        <v>265</v>
      </c>
      <c r="O141" s="267">
        <v>1411650</v>
      </c>
      <c r="P141" s="268">
        <v>423495</v>
      </c>
      <c r="Q141" s="154">
        <f>Table1[[#This Row],[Agreement Value as per  Excel]]-Table1[[#This Row],[Amt Received as per Excel]]</f>
        <v>988155</v>
      </c>
      <c r="R141" s="155">
        <f t="shared" si="4"/>
        <v>2579.5728747016674</v>
      </c>
      <c r="S141" s="160"/>
      <c r="T141" s="161"/>
      <c r="U141" s="157"/>
    </row>
    <row r="142" spans="2:21" x14ac:dyDescent="0.3">
      <c r="B142" s="148">
        <v>115</v>
      </c>
      <c r="C142" s="148" t="s">
        <v>34</v>
      </c>
      <c r="D142" s="149" t="s">
        <v>218</v>
      </c>
      <c r="E142" s="150">
        <v>609</v>
      </c>
      <c r="F142" s="150" t="s">
        <v>173</v>
      </c>
      <c r="G142" s="150" t="s">
        <v>169</v>
      </c>
      <c r="H142" s="150" t="s">
        <v>170</v>
      </c>
      <c r="I142" s="150" t="str">
        <f>Table1[[#This Row],[Wing]]&amp;-Table1[[#This Row],[Shop No / Office No. / Flat No.]]</f>
        <v>A-609</v>
      </c>
      <c r="J142" s="151">
        <v>34.520000000000003</v>
      </c>
      <c r="K142" s="151">
        <f t="shared" si="3"/>
        <v>371.57328000000001</v>
      </c>
      <c r="L142" s="152">
        <f>Table1[[#This Row],[RERA Carpet Area (Sq. Ft.)]]*1.1</f>
        <v>408.73060800000002</v>
      </c>
      <c r="M142" s="150" t="s">
        <v>211</v>
      </c>
      <c r="N142" s="152" t="s">
        <v>265</v>
      </c>
      <c r="O142" s="267">
        <v>444000</v>
      </c>
      <c r="P142" s="268">
        <v>135420</v>
      </c>
      <c r="Q142" s="154">
        <f>Table1[[#This Row],[Agreement Value as per  Excel]]-Table1[[#This Row],[Amt Received as per Excel]]</f>
        <v>308580</v>
      </c>
      <c r="R142" s="155">
        <f t="shared" si="4"/>
        <v>1194.9190749130291</v>
      </c>
      <c r="S142" s="160"/>
      <c r="T142" s="161"/>
      <c r="U142" s="157"/>
    </row>
    <row r="143" spans="2:21" x14ac:dyDescent="0.3">
      <c r="B143" s="148">
        <v>116</v>
      </c>
      <c r="C143" s="148" t="s">
        <v>34</v>
      </c>
      <c r="D143" s="149" t="s">
        <v>218</v>
      </c>
      <c r="E143" s="150">
        <v>610</v>
      </c>
      <c r="F143" s="150" t="s">
        <v>173</v>
      </c>
      <c r="G143" s="150" t="s">
        <v>169</v>
      </c>
      <c r="H143" s="150" t="s">
        <v>170</v>
      </c>
      <c r="I143" s="150" t="str">
        <f>Table1[[#This Row],[Wing]]&amp;-Table1[[#This Row],[Shop No / Office No. / Flat No.]]</f>
        <v>A-610</v>
      </c>
      <c r="J143" s="151">
        <v>33.01</v>
      </c>
      <c r="K143" s="151">
        <f t="shared" si="3"/>
        <v>355.31963999999994</v>
      </c>
      <c r="L143" s="152">
        <f>Table1[[#This Row],[RERA Carpet Area (Sq. Ft.)]]*1.1</f>
        <v>390.85160399999995</v>
      </c>
      <c r="M143" s="150" t="s">
        <v>211</v>
      </c>
      <c r="N143" s="152" t="s">
        <v>266</v>
      </c>
      <c r="O143" s="152"/>
      <c r="P143" s="154"/>
      <c r="Q143" s="154">
        <f>Table1[[#This Row],[Agreement Value as per  Excel]]-Table1[[#This Row],[Amt Received as per Excel]]</f>
        <v>0</v>
      </c>
      <c r="R143" s="155">
        <f t="shared" si="4"/>
        <v>0</v>
      </c>
      <c r="S143" s="160"/>
      <c r="T143" s="161"/>
      <c r="U143" s="157"/>
    </row>
    <row r="144" spans="2:21" x14ac:dyDescent="0.3">
      <c r="B144" s="148">
        <v>117</v>
      </c>
      <c r="C144" s="148" t="s">
        <v>34</v>
      </c>
      <c r="D144" s="149" t="s">
        <v>219</v>
      </c>
      <c r="E144" s="150">
        <v>701</v>
      </c>
      <c r="F144" s="150" t="s">
        <v>172</v>
      </c>
      <c r="G144" s="150" t="s">
        <v>169</v>
      </c>
      <c r="H144" s="150" t="s">
        <v>170</v>
      </c>
      <c r="I144" s="150" t="str">
        <f>Table1[[#This Row],[Wing]]&amp;-Table1[[#This Row],[Shop No / Office No. / Flat No.]]</f>
        <v>A-701</v>
      </c>
      <c r="J144" s="151">
        <v>44.07</v>
      </c>
      <c r="K144" s="151">
        <f t="shared" si="3"/>
        <v>474.36947999999995</v>
      </c>
      <c r="L144" s="152">
        <f>Table1[[#This Row],[RERA Carpet Area (Sq. Ft.)]]*1.1</f>
        <v>521.80642799999998</v>
      </c>
      <c r="M144" s="150" t="s">
        <v>211</v>
      </c>
      <c r="N144" s="152" t="s">
        <v>266</v>
      </c>
      <c r="O144" s="152"/>
      <c r="P144" s="154"/>
      <c r="Q144" s="154">
        <f>Table1[[#This Row],[Agreement Value as per  Excel]]-Table1[[#This Row],[Amt Received as per Excel]]</f>
        <v>0</v>
      </c>
      <c r="R144" s="155">
        <f t="shared" si="4"/>
        <v>0</v>
      </c>
      <c r="S144" s="160"/>
      <c r="T144" s="161"/>
      <c r="U144" s="157"/>
    </row>
    <row r="145" spans="2:21" x14ac:dyDescent="0.3">
      <c r="B145" s="148">
        <v>118</v>
      </c>
      <c r="C145" s="148" t="s">
        <v>34</v>
      </c>
      <c r="D145" s="149" t="s">
        <v>219</v>
      </c>
      <c r="E145" s="150">
        <v>702</v>
      </c>
      <c r="F145" s="150" t="s">
        <v>172</v>
      </c>
      <c r="G145" s="150" t="s">
        <v>169</v>
      </c>
      <c r="H145" s="150" t="s">
        <v>170</v>
      </c>
      <c r="I145" s="150" t="str">
        <f>Table1[[#This Row],[Wing]]&amp;-Table1[[#This Row],[Shop No / Office No. / Flat No.]]</f>
        <v>A-702</v>
      </c>
      <c r="J145" s="151">
        <v>44.07</v>
      </c>
      <c r="K145" s="151">
        <f t="shared" si="3"/>
        <v>474.36947999999995</v>
      </c>
      <c r="L145" s="152">
        <f>Table1[[#This Row],[RERA Carpet Area (Sq. Ft.)]]*1.1</f>
        <v>521.80642799999998</v>
      </c>
      <c r="M145" s="150" t="s">
        <v>211</v>
      </c>
      <c r="N145" s="152" t="s">
        <v>265</v>
      </c>
      <c r="O145" s="267">
        <v>2374550</v>
      </c>
      <c r="P145" s="268">
        <v>712356</v>
      </c>
      <c r="Q145" s="154">
        <f>Table1[[#This Row],[Agreement Value as per  Excel]]-Table1[[#This Row],[Amt Received as per Excel]]</f>
        <v>1662194</v>
      </c>
      <c r="R145" s="155">
        <f t="shared" si="4"/>
        <v>5005.6972467958949</v>
      </c>
      <c r="S145" s="160"/>
      <c r="T145" s="161"/>
      <c r="U145" s="157"/>
    </row>
    <row r="146" spans="2:21" hidden="1" x14ac:dyDescent="0.3">
      <c r="B146" s="148">
        <v>119</v>
      </c>
      <c r="C146" s="148" t="s">
        <v>34</v>
      </c>
      <c r="D146" s="149" t="s">
        <v>219</v>
      </c>
      <c r="E146" s="150">
        <v>703</v>
      </c>
      <c r="F146" s="150" t="s">
        <v>174</v>
      </c>
      <c r="G146" s="150" t="s">
        <v>169</v>
      </c>
      <c r="H146" s="150" t="s">
        <v>170</v>
      </c>
      <c r="I146" s="150" t="str">
        <f>Table1[[#This Row],[Wing]]&amp;-Table1[[#This Row],[Shop No / Office No. / Flat No.]]</f>
        <v>A-703</v>
      </c>
      <c r="J146" s="159">
        <v>66.650000000000006</v>
      </c>
      <c r="K146" s="151">
        <f t="shared" si="3"/>
        <v>717.42060000000004</v>
      </c>
      <c r="L146" s="152">
        <f>Table1[[#This Row],[RERA Carpet Area (Sq. Ft.)]]*1.1</f>
        <v>789.16266000000007</v>
      </c>
      <c r="M146" s="150" t="s">
        <v>168</v>
      </c>
      <c r="N146" s="152" t="s">
        <v>168</v>
      </c>
      <c r="O146" s="152">
        <v>10990000</v>
      </c>
      <c r="P146" s="154">
        <v>10957250</v>
      </c>
      <c r="Q146" s="154">
        <f>Table1[[#This Row],[Agreement Value as per  Excel]]-Table1[[#This Row],[Amt Received as per Excel]]</f>
        <v>32750</v>
      </c>
      <c r="R146" s="155">
        <f t="shared" si="4"/>
        <v>15318.768376598051</v>
      </c>
      <c r="S146" s="160"/>
      <c r="T146" s="161"/>
      <c r="U146" s="157"/>
    </row>
    <row r="147" spans="2:21" x14ac:dyDescent="0.3">
      <c r="B147" s="148">
        <v>120</v>
      </c>
      <c r="C147" s="148" t="s">
        <v>34</v>
      </c>
      <c r="D147" s="149" t="s">
        <v>219</v>
      </c>
      <c r="E147" s="150">
        <v>704</v>
      </c>
      <c r="F147" s="150" t="s">
        <v>174</v>
      </c>
      <c r="G147" s="150" t="s">
        <v>169</v>
      </c>
      <c r="H147" s="150" t="s">
        <v>170</v>
      </c>
      <c r="I147" s="150" t="str">
        <f>Table1[[#This Row],[Wing]]&amp;-Table1[[#This Row],[Shop No / Office No. / Flat No.]]</f>
        <v>A-704</v>
      </c>
      <c r="J147" s="151">
        <v>66.650000000000006</v>
      </c>
      <c r="K147" s="151">
        <f t="shared" si="3"/>
        <v>717.42060000000004</v>
      </c>
      <c r="L147" s="152">
        <f>Table1[[#This Row],[RERA Carpet Area (Sq. Ft.)]]*1.1</f>
        <v>789.16266000000007</v>
      </c>
      <c r="M147" s="150" t="s">
        <v>211</v>
      </c>
      <c r="N147" s="152" t="s">
        <v>265</v>
      </c>
      <c r="O147" s="267">
        <v>3067325</v>
      </c>
      <c r="P147" s="268">
        <v>920167</v>
      </c>
      <c r="Q147" s="154">
        <f>Table1[[#This Row],[Agreement Value as per  Excel]]-Table1[[#This Row],[Amt Received as per Excel]]</f>
        <v>2147158</v>
      </c>
      <c r="R147" s="155">
        <f t="shared" si="4"/>
        <v>4275.4905560280813</v>
      </c>
      <c r="S147" s="160"/>
      <c r="T147" s="161"/>
      <c r="U147" s="157"/>
    </row>
    <row r="148" spans="2:21" x14ac:dyDescent="0.3">
      <c r="B148" s="148">
        <v>121</v>
      </c>
      <c r="C148" s="148" t="s">
        <v>34</v>
      </c>
      <c r="D148" s="149" t="s">
        <v>219</v>
      </c>
      <c r="E148" s="150">
        <v>705</v>
      </c>
      <c r="F148" s="150" t="s">
        <v>251</v>
      </c>
      <c r="G148" s="150" t="s">
        <v>169</v>
      </c>
      <c r="H148" s="150" t="s">
        <v>170</v>
      </c>
      <c r="I148" s="150" t="str">
        <f>Table1[[#This Row],[Wing]]&amp;-Table1[[#This Row],[Shop No / Office No. / Flat No.]]</f>
        <v>A-705</v>
      </c>
      <c r="J148" s="151">
        <v>44.07</v>
      </c>
      <c r="K148" s="151">
        <f t="shared" si="3"/>
        <v>474.36947999999995</v>
      </c>
      <c r="L148" s="152">
        <f>Table1[[#This Row],[RERA Carpet Area (Sq. Ft.)]]*1.1</f>
        <v>521.80642799999998</v>
      </c>
      <c r="M148" s="150" t="s">
        <v>211</v>
      </c>
      <c r="N148" s="152" t="s">
        <v>266</v>
      </c>
      <c r="O148" s="152"/>
      <c r="P148" s="154"/>
      <c r="Q148" s="154">
        <f>Table1[[#This Row],[Agreement Value as per  Excel]]-Table1[[#This Row],[Amt Received as per Excel]]</f>
        <v>0</v>
      </c>
      <c r="R148" s="155">
        <f t="shared" si="4"/>
        <v>0</v>
      </c>
      <c r="S148" s="160"/>
      <c r="T148" s="161"/>
      <c r="U148" s="157"/>
    </row>
    <row r="149" spans="2:21" x14ac:dyDescent="0.3">
      <c r="B149" s="148">
        <v>122</v>
      </c>
      <c r="C149" s="148" t="s">
        <v>34</v>
      </c>
      <c r="D149" s="149" t="s">
        <v>219</v>
      </c>
      <c r="E149" s="150">
        <v>706</v>
      </c>
      <c r="F149" s="150" t="s">
        <v>251</v>
      </c>
      <c r="G149" s="150" t="s">
        <v>169</v>
      </c>
      <c r="H149" s="150" t="s">
        <v>170</v>
      </c>
      <c r="I149" s="150" t="str">
        <f>Table1[[#This Row],[Wing]]&amp;-Table1[[#This Row],[Shop No / Office No. / Flat No.]]</f>
        <v>A-706</v>
      </c>
      <c r="J149" s="151">
        <v>44.13</v>
      </c>
      <c r="K149" s="151">
        <f t="shared" si="3"/>
        <v>475.01531999999997</v>
      </c>
      <c r="L149" s="152">
        <f>Table1[[#This Row],[RERA Carpet Area (Sq. Ft.)]]*1.1</f>
        <v>522.51685199999997</v>
      </c>
      <c r="M149" s="150" t="s">
        <v>211</v>
      </c>
      <c r="N149" s="152" t="s">
        <v>266</v>
      </c>
      <c r="O149" s="152"/>
      <c r="P149" s="154"/>
      <c r="Q149" s="154">
        <f>Table1[[#This Row],[Agreement Value as per  Excel]]-Table1[[#This Row],[Amt Received as per Excel]]</f>
        <v>0</v>
      </c>
      <c r="R149" s="155">
        <f t="shared" si="4"/>
        <v>0</v>
      </c>
      <c r="S149" s="160"/>
      <c r="T149" s="161"/>
      <c r="U149" s="157"/>
    </row>
    <row r="150" spans="2:21" x14ac:dyDescent="0.3">
      <c r="B150" s="148">
        <v>123</v>
      </c>
      <c r="C150" s="148" t="s">
        <v>34</v>
      </c>
      <c r="D150" s="149" t="s">
        <v>219</v>
      </c>
      <c r="E150" s="150">
        <v>707</v>
      </c>
      <c r="F150" s="150" t="s">
        <v>253</v>
      </c>
      <c r="G150" s="150" t="s">
        <v>169</v>
      </c>
      <c r="H150" s="150" t="s">
        <v>170</v>
      </c>
      <c r="I150" s="150" t="str">
        <f>Table1[[#This Row],[Wing]]&amp;-Table1[[#This Row],[Shop No / Office No. / Flat No.]]</f>
        <v>A-707</v>
      </c>
      <c r="J150" s="151">
        <v>33.01</v>
      </c>
      <c r="K150" s="151">
        <f t="shared" si="3"/>
        <v>355.31963999999994</v>
      </c>
      <c r="L150" s="152">
        <f>Table1[[#This Row],[RERA Carpet Area (Sq. Ft.)]]*1.1</f>
        <v>390.85160399999995</v>
      </c>
      <c r="M150" s="150" t="s">
        <v>211</v>
      </c>
      <c r="N150" s="152" t="s">
        <v>266</v>
      </c>
      <c r="O150" s="152"/>
      <c r="P150" s="154"/>
      <c r="Q150" s="154">
        <f>Table1[[#This Row],[Agreement Value as per  Excel]]-Table1[[#This Row],[Amt Received as per Excel]]</f>
        <v>0</v>
      </c>
      <c r="R150" s="155">
        <f t="shared" si="4"/>
        <v>0</v>
      </c>
      <c r="S150" s="160"/>
      <c r="T150" s="161"/>
      <c r="U150" s="157"/>
    </row>
    <row r="151" spans="2:21" x14ac:dyDescent="0.3">
      <c r="B151" s="148">
        <v>124</v>
      </c>
      <c r="C151" s="148" t="s">
        <v>34</v>
      </c>
      <c r="D151" s="149" t="s">
        <v>219</v>
      </c>
      <c r="E151" s="150">
        <v>708</v>
      </c>
      <c r="F151" s="150" t="s">
        <v>251</v>
      </c>
      <c r="G151" s="150" t="s">
        <v>169</v>
      </c>
      <c r="H151" s="150" t="s">
        <v>170</v>
      </c>
      <c r="I151" s="150" t="str">
        <f>Table1[[#This Row],[Wing]]&amp;-Table1[[#This Row],[Shop No / Office No. / Flat No.]]</f>
        <v>A-708</v>
      </c>
      <c r="J151" s="151">
        <v>50.84</v>
      </c>
      <c r="K151" s="151">
        <f t="shared" si="3"/>
        <v>547.24176</v>
      </c>
      <c r="L151" s="152">
        <f>Table1[[#This Row],[RERA Carpet Area (Sq. Ft.)]]*1.1</f>
        <v>601.96593600000006</v>
      </c>
      <c r="M151" s="150" t="s">
        <v>167</v>
      </c>
      <c r="N151" s="152" t="s">
        <v>265</v>
      </c>
      <c r="O151" s="272">
        <v>587500</v>
      </c>
      <c r="P151" s="273">
        <v>587500</v>
      </c>
      <c r="Q151" s="154">
        <f>Table1[[#This Row],[Agreement Value as per  Excel]]-Table1[[#This Row],[Amt Received as per Excel]]</f>
        <v>0</v>
      </c>
      <c r="R151" s="155">
        <f t="shared" si="4"/>
        <v>1073.5657308024154</v>
      </c>
      <c r="S151" s="160"/>
      <c r="T151" s="161"/>
      <c r="U151" s="157"/>
    </row>
    <row r="152" spans="2:21" x14ac:dyDescent="0.3">
      <c r="B152" s="148">
        <v>125</v>
      </c>
      <c r="C152" s="148" t="s">
        <v>34</v>
      </c>
      <c r="D152" s="149" t="s">
        <v>219</v>
      </c>
      <c r="E152" s="150">
        <v>709</v>
      </c>
      <c r="F152" s="150" t="s">
        <v>173</v>
      </c>
      <c r="G152" s="150" t="s">
        <v>169</v>
      </c>
      <c r="H152" s="150" t="s">
        <v>170</v>
      </c>
      <c r="I152" s="150" t="str">
        <f>Table1[[#This Row],[Wing]]&amp;-Table1[[#This Row],[Shop No / Office No. / Flat No.]]</f>
        <v>A-709</v>
      </c>
      <c r="J152" s="151">
        <v>34.520000000000003</v>
      </c>
      <c r="K152" s="151">
        <f t="shared" si="3"/>
        <v>371.57328000000001</v>
      </c>
      <c r="L152" s="152">
        <f>Table1[[#This Row],[RERA Carpet Area (Sq. Ft.)]]*1.1</f>
        <v>408.73060800000002</v>
      </c>
      <c r="M152" s="150" t="s">
        <v>211</v>
      </c>
      <c r="N152" s="152" t="s">
        <v>265</v>
      </c>
      <c r="O152" s="267">
        <v>444000</v>
      </c>
      <c r="P152" s="268">
        <v>133200</v>
      </c>
      <c r="Q152" s="154">
        <f>Table1[[#This Row],[Agreement Value as per  Excel]]-Table1[[#This Row],[Amt Received as per Excel]]</f>
        <v>310800</v>
      </c>
      <c r="R152" s="155">
        <f t="shared" si="4"/>
        <v>1194.9190749130291</v>
      </c>
      <c r="S152" s="160"/>
      <c r="T152" s="161"/>
      <c r="U152" s="157"/>
    </row>
    <row r="153" spans="2:21" x14ac:dyDescent="0.3">
      <c r="B153" s="148">
        <v>126</v>
      </c>
      <c r="C153" s="148" t="s">
        <v>34</v>
      </c>
      <c r="D153" s="149" t="s">
        <v>219</v>
      </c>
      <c r="E153" s="150">
        <v>710</v>
      </c>
      <c r="F153" s="150" t="s">
        <v>173</v>
      </c>
      <c r="G153" s="150" t="s">
        <v>169</v>
      </c>
      <c r="H153" s="150" t="s">
        <v>170</v>
      </c>
      <c r="I153" s="150" t="str">
        <f>Table1[[#This Row],[Wing]]&amp;-Table1[[#This Row],[Shop No / Office No. / Flat No.]]</f>
        <v>A-710</v>
      </c>
      <c r="J153" s="151">
        <v>33.01</v>
      </c>
      <c r="K153" s="151">
        <f t="shared" si="3"/>
        <v>355.31963999999994</v>
      </c>
      <c r="L153" s="152">
        <f>Table1[[#This Row],[RERA Carpet Area (Sq. Ft.)]]*1.1</f>
        <v>390.85160399999995</v>
      </c>
      <c r="M153" s="150" t="s">
        <v>211</v>
      </c>
      <c r="N153" s="152" t="s">
        <v>266</v>
      </c>
      <c r="O153" s="152"/>
      <c r="P153" s="154"/>
      <c r="Q153" s="154">
        <f>Table1[[#This Row],[Agreement Value as per  Excel]]-Table1[[#This Row],[Amt Received as per Excel]]</f>
        <v>0</v>
      </c>
      <c r="R153" s="155">
        <f t="shared" si="4"/>
        <v>0</v>
      </c>
      <c r="S153" s="160"/>
      <c r="T153" s="161"/>
      <c r="U153" s="157"/>
    </row>
    <row r="154" spans="2:21" x14ac:dyDescent="0.3">
      <c r="B154" s="148">
        <v>127</v>
      </c>
      <c r="C154" s="148" t="s">
        <v>34</v>
      </c>
      <c r="D154" s="149" t="s">
        <v>220</v>
      </c>
      <c r="E154" s="150">
        <v>801</v>
      </c>
      <c r="F154" s="150" t="s">
        <v>172</v>
      </c>
      <c r="G154" s="150" t="s">
        <v>169</v>
      </c>
      <c r="H154" s="150" t="s">
        <v>170</v>
      </c>
      <c r="I154" s="150" t="str">
        <f>Table1[[#This Row],[Wing]]&amp;-Table1[[#This Row],[Shop No / Office No. / Flat No.]]</f>
        <v>A-801</v>
      </c>
      <c r="J154" s="151">
        <v>44.07</v>
      </c>
      <c r="K154" s="151">
        <f t="shared" si="3"/>
        <v>474.36947999999995</v>
      </c>
      <c r="L154" s="152">
        <f>Table1[[#This Row],[RERA Carpet Area (Sq. Ft.)]]*1.1</f>
        <v>521.80642799999998</v>
      </c>
      <c r="M154" s="150" t="s">
        <v>211</v>
      </c>
      <c r="N154" s="152" t="s">
        <v>266</v>
      </c>
      <c r="O154" s="152"/>
      <c r="P154" s="154"/>
      <c r="Q154" s="154">
        <f>Table1[[#This Row],[Agreement Value as per  Excel]]-Table1[[#This Row],[Amt Received as per Excel]]</f>
        <v>0</v>
      </c>
      <c r="R154" s="155">
        <f t="shared" si="4"/>
        <v>0</v>
      </c>
      <c r="S154" s="160"/>
      <c r="T154" s="161"/>
      <c r="U154" s="157"/>
    </row>
    <row r="155" spans="2:21" x14ac:dyDescent="0.3">
      <c r="B155" s="148">
        <v>128</v>
      </c>
      <c r="C155" s="148" t="s">
        <v>34</v>
      </c>
      <c r="D155" s="149" t="s">
        <v>220</v>
      </c>
      <c r="E155" s="150">
        <v>802</v>
      </c>
      <c r="F155" s="150" t="s">
        <v>172</v>
      </c>
      <c r="G155" s="150" t="s">
        <v>169</v>
      </c>
      <c r="H155" s="150" t="s">
        <v>170</v>
      </c>
      <c r="I155" s="150" t="str">
        <f>Table1[[#This Row],[Wing]]&amp;-Table1[[#This Row],[Shop No / Office No. / Flat No.]]</f>
        <v>A-802</v>
      </c>
      <c r="J155" s="151">
        <v>44.07</v>
      </c>
      <c r="K155" s="151">
        <f t="shared" si="3"/>
        <v>474.36947999999995</v>
      </c>
      <c r="L155" s="152">
        <f>Table1[[#This Row],[RERA Carpet Area (Sq. Ft.)]]*1.1</f>
        <v>521.80642799999998</v>
      </c>
      <c r="M155" s="150" t="s">
        <v>211</v>
      </c>
      <c r="N155" s="152" t="s">
        <v>266</v>
      </c>
      <c r="O155" s="152"/>
      <c r="P155" s="154"/>
      <c r="Q155" s="154">
        <f>Table1[[#This Row],[Agreement Value as per  Excel]]-Table1[[#This Row],[Amt Received as per Excel]]</f>
        <v>0</v>
      </c>
      <c r="R155" s="155">
        <f t="shared" si="4"/>
        <v>0</v>
      </c>
      <c r="S155" s="160"/>
      <c r="T155" s="161"/>
      <c r="U155" s="157"/>
    </row>
    <row r="156" spans="2:21" hidden="1" x14ac:dyDescent="0.3">
      <c r="B156" s="148">
        <v>129</v>
      </c>
      <c r="C156" s="148" t="s">
        <v>34</v>
      </c>
      <c r="D156" s="149" t="s">
        <v>220</v>
      </c>
      <c r="E156" s="150">
        <v>803</v>
      </c>
      <c r="F156" s="150" t="s">
        <v>171</v>
      </c>
      <c r="G156" s="150" t="s">
        <v>171</v>
      </c>
      <c r="H156" s="150" t="s">
        <v>171</v>
      </c>
      <c r="I156" s="150" t="str">
        <f>Table1[[#This Row],[Wing]]&amp;-Table1[[#This Row],[Shop No / Office No. / Flat No.]]</f>
        <v>A-803</v>
      </c>
      <c r="J156" s="151"/>
      <c r="K156" s="151">
        <f t="shared" si="3"/>
        <v>0</v>
      </c>
      <c r="L156" s="152">
        <f>Table1[[#This Row],[RERA Carpet Area (Sq. Ft.)]]*1.1</f>
        <v>0</v>
      </c>
      <c r="M156" s="150" t="s">
        <v>171</v>
      </c>
      <c r="N156" s="152" t="s">
        <v>264</v>
      </c>
      <c r="O156" s="152"/>
      <c r="P156" s="154"/>
      <c r="Q156" s="154">
        <f>Table1[[#This Row],[Agreement Value as per  Excel]]-Table1[[#This Row],[Amt Received as per Excel]]</f>
        <v>0</v>
      </c>
      <c r="R156" s="155">
        <f t="shared" si="4"/>
        <v>0</v>
      </c>
      <c r="S156" s="160"/>
      <c r="T156" s="161"/>
      <c r="U156" s="157"/>
    </row>
    <row r="157" spans="2:21" hidden="1" x14ac:dyDescent="0.3">
      <c r="B157" s="148">
        <v>130</v>
      </c>
      <c r="C157" s="148" t="s">
        <v>34</v>
      </c>
      <c r="D157" s="149" t="s">
        <v>220</v>
      </c>
      <c r="E157" s="150">
        <v>804</v>
      </c>
      <c r="F157" s="150" t="s">
        <v>171</v>
      </c>
      <c r="G157" s="150" t="s">
        <v>171</v>
      </c>
      <c r="H157" s="150" t="s">
        <v>171</v>
      </c>
      <c r="I157" s="150" t="str">
        <f>Table1[[#This Row],[Wing]]&amp;-Table1[[#This Row],[Shop No / Office No. / Flat No.]]</f>
        <v>A-804</v>
      </c>
      <c r="J157" s="151"/>
      <c r="K157" s="151">
        <f t="shared" si="3"/>
        <v>0</v>
      </c>
      <c r="L157" s="152">
        <f>Table1[[#This Row],[RERA Carpet Area (Sq. Ft.)]]*1.1</f>
        <v>0</v>
      </c>
      <c r="M157" s="150" t="s">
        <v>171</v>
      </c>
      <c r="N157" s="152" t="s">
        <v>264</v>
      </c>
      <c r="O157" s="152"/>
      <c r="P157" s="154"/>
      <c r="Q157" s="154">
        <f>Table1[[#This Row],[Agreement Value as per  Excel]]-Table1[[#This Row],[Amt Received as per Excel]]</f>
        <v>0</v>
      </c>
      <c r="R157" s="155">
        <f t="shared" si="4"/>
        <v>0</v>
      </c>
      <c r="S157" s="160"/>
      <c r="T157" s="161"/>
      <c r="U157" s="157"/>
    </row>
    <row r="158" spans="2:21" x14ac:dyDescent="0.3">
      <c r="B158" s="148">
        <v>131</v>
      </c>
      <c r="C158" s="148" t="s">
        <v>34</v>
      </c>
      <c r="D158" s="149" t="s">
        <v>220</v>
      </c>
      <c r="E158" s="150">
        <v>805</v>
      </c>
      <c r="F158" s="150" t="s">
        <v>172</v>
      </c>
      <c r="G158" s="150" t="s">
        <v>169</v>
      </c>
      <c r="H158" s="150" t="s">
        <v>170</v>
      </c>
      <c r="I158" s="150" t="str">
        <f>Table1[[#This Row],[Wing]]&amp;-Table1[[#This Row],[Shop No / Office No. / Flat No.]]</f>
        <v>A-805</v>
      </c>
      <c r="J158" s="151">
        <v>44.07</v>
      </c>
      <c r="K158" s="151">
        <f t="shared" si="3"/>
        <v>474.36947999999995</v>
      </c>
      <c r="L158" s="152">
        <f>Table1[[#This Row],[RERA Carpet Area (Sq. Ft.)]]*1.1</f>
        <v>521.80642799999998</v>
      </c>
      <c r="M158" s="150" t="s">
        <v>211</v>
      </c>
      <c r="N158" s="152" t="s">
        <v>265</v>
      </c>
      <c r="O158" s="267">
        <v>2374550</v>
      </c>
      <c r="P158" s="268">
        <v>712365</v>
      </c>
      <c r="Q158" s="154">
        <f>Table1[[#This Row],[Agreement Value as per  Excel]]-Table1[[#This Row],[Amt Received as per Excel]]</f>
        <v>1662185</v>
      </c>
      <c r="R158" s="155">
        <f t="shared" si="4"/>
        <v>5005.6972467958949</v>
      </c>
      <c r="S158" s="160"/>
      <c r="T158" s="161"/>
      <c r="U158" s="157"/>
    </row>
    <row r="159" spans="2:21" x14ac:dyDescent="0.3">
      <c r="B159" s="148">
        <v>132</v>
      </c>
      <c r="C159" s="148" t="s">
        <v>34</v>
      </c>
      <c r="D159" s="149" t="s">
        <v>220</v>
      </c>
      <c r="E159" s="150">
        <v>806</v>
      </c>
      <c r="F159" s="150" t="s">
        <v>172</v>
      </c>
      <c r="G159" s="150" t="s">
        <v>169</v>
      </c>
      <c r="H159" s="150" t="s">
        <v>170</v>
      </c>
      <c r="I159" s="150" t="str">
        <f>Table1[[#This Row],[Wing]]&amp;-Table1[[#This Row],[Shop No / Office No. / Flat No.]]</f>
        <v>A-806</v>
      </c>
      <c r="J159" s="151">
        <v>44.13</v>
      </c>
      <c r="K159" s="151">
        <f t="shared" si="3"/>
        <v>475.01531999999997</v>
      </c>
      <c r="L159" s="152">
        <f>Table1[[#This Row],[RERA Carpet Area (Sq. Ft.)]]*1.1</f>
        <v>522.51685199999997</v>
      </c>
      <c r="M159" s="150" t="s">
        <v>211</v>
      </c>
      <c r="N159" s="152" t="s">
        <v>265</v>
      </c>
      <c r="O159" s="267">
        <v>2374550</v>
      </c>
      <c r="P159" s="268">
        <v>1780913.25</v>
      </c>
      <c r="Q159" s="154">
        <f>Table1[[#This Row],[Agreement Value as per  Excel]]-Table1[[#This Row],[Amt Received as per Excel]]</f>
        <v>593636.75</v>
      </c>
      <c r="R159" s="155">
        <f t="shared" si="4"/>
        <v>4998.8914041761855</v>
      </c>
      <c r="S159" s="160"/>
      <c r="T159" s="161"/>
      <c r="U159" s="157"/>
    </row>
    <row r="160" spans="2:21" x14ac:dyDescent="0.3">
      <c r="B160" s="148">
        <v>133</v>
      </c>
      <c r="C160" s="148" t="s">
        <v>34</v>
      </c>
      <c r="D160" s="149" t="s">
        <v>220</v>
      </c>
      <c r="E160" s="150">
        <v>807</v>
      </c>
      <c r="F160" s="150" t="s">
        <v>173</v>
      </c>
      <c r="G160" s="150" t="s">
        <v>169</v>
      </c>
      <c r="H160" s="150" t="s">
        <v>170</v>
      </c>
      <c r="I160" s="150" t="str">
        <f>Table1[[#This Row],[Wing]]&amp;-Table1[[#This Row],[Shop No / Office No. / Flat No.]]</f>
        <v>A-807</v>
      </c>
      <c r="J160" s="151">
        <v>33.01</v>
      </c>
      <c r="K160" s="151">
        <f t="shared" ref="K160:K223" si="5">IFERROR(J160*10.764,0)</f>
        <v>355.31963999999994</v>
      </c>
      <c r="L160" s="152">
        <f>Table1[[#This Row],[RERA Carpet Area (Sq. Ft.)]]*1.1</f>
        <v>390.85160399999995</v>
      </c>
      <c r="M160" s="150" t="s">
        <v>211</v>
      </c>
      <c r="N160" s="152" t="s">
        <v>266</v>
      </c>
      <c r="O160" s="152"/>
      <c r="P160" s="154"/>
      <c r="Q160" s="154">
        <f>Table1[[#This Row],[Agreement Value as per  Excel]]-Table1[[#This Row],[Amt Received as per Excel]]</f>
        <v>0</v>
      </c>
      <c r="R160" s="155">
        <f t="shared" si="4"/>
        <v>0</v>
      </c>
      <c r="S160" s="160"/>
      <c r="T160" s="161"/>
      <c r="U160" s="157"/>
    </row>
    <row r="161" spans="2:21" hidden="1" x14ac:dyDescent="0.3">
      <c r="B161" s="148">
        <v>134</v>
      </c>
      <c r="C161" s="148" t="s">
        <v>34</v>
      </c>
      <c r="D161" s="149" t="s">
        <v>220</v>
      </c>
      <c r="E161" s="150">
        <v>808</v>
      </c>
      <c r="F161" s="150" t="s">
        <v>172</v>
      </c>
      <c r="G161" s="150" t="s">
        <v>169</v>
      </c>
      <c r="H161" s="150" t="s">
        <v>170</v>
      </c>
      <c r="I161" s="150" t="str">
        <f>Table1[[#This Row],[Wing]]&amp;-Table1[[#This Row],[Shop No / Office No. / Flat No.]]</f>
        <v>A-808</v>
      </c>
      <c r="J161" s="151">
        <v>50.84</v>
      </c>
      <c r="K161" s="151">
        <f t="shared" si="5"/>
        <v>547.24176</v>
      </c>
      <c r="L161" s="152">
        <f>Table1[[#This Row],[RERA Carpet Area (Sq. Ft.)]]*1.1</f>
        <v>601.96593600000006</v>
      </c>
      <c r="M161" s="150" t="s">
        <v>168</v>
      </c>
      <c r="N161" s="152" t="s">
        <v>168</v>
      </c>
      <c r="O161" s="152">
        <v>11999790</v>
      </c>
      <c r="P161" s="154">
        <v>6719893</v>
      </c>
      <c r="Q161" s="154">
        <f>Table1[[#This Row],[Agreement Value as per  Excel]]-Table1[[#This Row],[Amt Received as per Excel]]</f>
        <v>5279897</v>
      </c>
      <c r="R161" s="155">
        <f t="shared" si="4"/>
        <v>21927.767354596625</v>
      </c>
      <c r="S161" s="160"/>
      <c r="T161" s="161"/>
      <c r="U161" s="157"/>
    </row>
    <row r="162" spans="2:21" x14ac:dyDescent="0.3">
      <c r="B162" s="148">
        <v>135</v>
      </c>
      <c r="C162" s="148" t="s">
        <v>34</v>
      </c>
      <c r="D162" s="149" t="s">
        <v>220</v>
      </c>
      <c r="E162" s="150">
        <v>809</v>
      </c>
      <c r="F162" s="150" t="s">
        <v>173</v>
      </c>
      <c r="G162" s="150" t="s">
        <v>169</v>
      </c>
      <c r="H162" s="150" t="s">
        <v>170</v>
      </c>
      <c r="I162" s="150" t="str">
        <f>Table1[[#This Row],[Wing]]&amp;-Table1[[#This Row],[Shop No / Office No. / Flat No.]]</f>
        <v>A-809</v>
      </c>
      <c r="J162" s="151">
        <v>34.520000000000003</v>
      </c>
      <c r="K162" s="151">
        <f t="shared" si="5"/>
        <v>371.57328000000001</v>
      </c>
      <c r="L162" s="152">
        <f>Table1[[#This Row],[RERA Carpet Area (Sq. Ft.)]]*1.1</f>
        <v>408.73060800000002</v>
      </c>
      <c r="M162" s="150" t="s">
        <v>211</v>
      </c>
      <c r="N162" s="152" t="s">
        <v>265</v>
      </c>
      <c r="O162" s="267">
        <v>444000</v>
      </c>
      <c r="P162" s="268">
        <v>133200</v>
      </c>
      <c r="Q162" s="154">
        <f>Table1[[#This Row],[Agreement Value as per  Excel]]-Table1[[#This Row],[Amt Received as per Excel]]</f>
        <v>310800</v>
      </c>
      <c r="R162" s="155">
        <f t="shared" si="4"/>
        <v>1194.9190749130291</v>
      </c>
      <c r="S162" s="160"/>
      <c r="T162" s="161"/>
      <c r="U162" s="157"/>
    </row>
    <row r="163" spans="2:21" x14ac:dyDescent="0.3">
      <c r="B163" s="148">
        <v>136</v>
      </c>
      <c r="C163" s="148" t="s">
        <v>34</v>
      </c>
      <c r="D163" s="149" t="s">
        <v>220</v>
      </c>
      <c r="E163" s="150">
        <v>810</v>
      </c>
      <c r="F163" s="150" t="s">
        <v>173</v>
      </c>
      <c r="G163" s="150" t="s">
        <v>169</v>
      </c>
      <c r="H163" s="150" t="s">
        <v>170</v>
      </c>
      <c r="I163" s="150" t="str">
        <f>Table1[[#This Row],[Wing]]&amp;-Table1[[#This Row],[Shop No / Office No. / Flat No.]]</f>
        <v>A-810</v>
      </c>
      <c r="J163" s="151">
        <v>33.01</v>
      </c>
      <c r="K163" s="151">
        <f t="shared" si="5"/>
        <v>355.31963999999994</v>
      </c>
      <c r="L163" s="152">
        <f>Table1[[#This Row],[RERA Carpet Area (Sq. Ft.)]]*1.1</f>
        <v>390.85160399999995</v>
      </c>
      <c r="M163" s="150" t="s">
        <v>211</v>
      </c>
      <c r="N163" s="152" t="s">
        <v>266</v>
      </c>
      <c r="O163" s="152"/>
      <c r="P163" s="154"/>
      <c r="Q163" s="154">
        <f>Table1[[#This Row],[Agreement Value as per  Excel]]-Table1[[#This Row],[Amt Received as per Excel]]</f>
        <v>0</v>
      </c>
      <c r="R163" s="155">
        <f t="shared" si="4"/>
        <v>0</v>
      </c>
      <c r="S163" s="160"/>
      <c r="T163" s="161"/>
      <c r="U163" s="157"/>
    </row>
    <row r="164" spans="2:21" x14ac:dyDescent="0.3">
      <c r="B164" s="148">
        <v>137</v>
      </c>
      <c r="C164" s="148" t="s">
        <v>34</v>
      </c>
      <c r="D164" s="149" t="s">
        <v>221</v>
      </c>
      <c r="E164" s="150">
        <v>901</v>
      </c>
      <c r="F164" s="150" t="s">
        <v>172</v>
      </c>
      <c r="G164" s="150" t="s">
        <v>169</v>
      </c>
      <c r="H164" s="150" t="s">
        <v>170</v>
      </c>
      <c r="I164" s="150" t="str">
        <f>Table1[[#This Row],[Wing]]&amp;-Table1[[#This Row],[Shop No / Office No. / Flat No.]]</f>
        <v>A-901</v>
      </c>
      <c r="J164" s="151">
        <v>44.07</v>
      </c>
      <c r="K164" s="151">
        <f t="shared" si="5"/>
        <v>474.36947999999995</v>
      </c>
      <c r="L164" s="152">
        <f>Table1[[#This Row],[RERA Carpet Area (Sq. Ft.)]]*1.1</f>
        <v>521.80642799999998</v>
      </c>
      <c r="M164" s="150" t="s">
        <v>211</v>
      </c>
      <c r="N164" s="152" t="s">
        <v>266</v>
      </c>
      <c r="O164" s="152"/>
      <c r="P164" s="154"/>
      <c r="Q164" s="154">
        <f>Table1[[#This Row],[Agreement Value as per  Excel]]-Table1[[#This Row],[Amt Received as per Excel]]</f>
        <v>0</v>
      </c>
      <c r="R164" s="155">
        <f t="shared" si="4"/>
        <v>0</v>
      </c>
      <c r="S164" s="160"/>
      <c r="T164" s="161"/>
      <c r="U164" s="157"/>
    </row>
    <row r="165" spans="2:21" x14ac:dyDescent="0.3">
      <c r="B165" s="148">
        <v>138</v>
      </c>
      <c r="C165" s="148" t="s">
        <v>34</v>
      </c>
      <c r="D165" s="149" t="s">
        <v>221</v>
      </c>
      <c r="E165" s="150">
        <v>902</v>
      </c>
      <c r="F165" s="150" t="s">
        <v>172</v>
      </c>
      <c r="G165" s="150" t="s">
        <v>169</v>
      </c>
      <c r="H165" s="150" t="s">
        <v>170</v>
      </c>
      <c r="I165" s="150" t="str">
        <f>Table1[[#This Row],[Wing]]&amp;-Table1[[#This Row],[Shop No / Office No. / Flat No.]]</f>
        <v>A-902</v>
      </c>
      <c r="J165" s="151">
        <v>44.07</v>
      </c>
      <c r="K165" s="151">
        <f t="shared" si="5"/>
        <v>474.36947999999995</v>
      </c>
      <c r="L165" s="152">
        <f>Table1[[#This Row],[RERA Carpet Area (Sq. Ft.)]]*1.1</f>
        <v>521.80642799999998</v>
      </c>
      <c r="M165" s="150" t="s">
        <v>211</v>
      </c>
      <c r="N165" s="152" t="s">
        <v>265</v>
      </c>
      <c r="O165" s="267">
        <v>1872000</v>
      </c>
      <c r="P165" s="268">
        <v>0</v>
      </c>
      <c r="Q165" s="154">
        <f>Table1[[#This Row],[Agreement Value as per  Excel]]-Table1[[#This Row],[Amt Received as per Excel]]</f>
        <v>1872000</v>
      </c>
      <c r="R165" s="155">
        <f t="shared" si="4"/>
        <v>3946.2909797653933</v>
      </c>
      <c r="S165" s="160"/>
      <c r="T165" s="161"/>
      <c r="U165" s="157"/>
    </row>
    <row r="166" spans="2:21" hidden="1" x14ac:dyDescent="0.3">
      <c r="B166" s="148">
        <v>139</v>
      </c>
      <c r="C166" s="148" t="s">
        <v>34</v>
      </c>
      <c r="D166" s="149" t="s">
        <v>221</v>
      </c>
      <c r="E166" s="150">
        <v>903</v>
      </c>
      <c r="F166" s="150" t="s">
        <v>174</v>
      </c>
      <c r="G166" s="150" t="s">
        <v>169</v>
      </c>
      <c r="H166" s="150" t="s">
        <v>170</v>
      </c>
      <c r="I166" s="150" t="str">
        <f>Table1[[#This Row],[Wing]]&amp;-Table1[[#This Row],[Shop No / Office No. / Flat No.]]</f>
        <v>A-903</v>
      </c>
      <c r="J166" s="159">
        <v>73.91</v>
      </c>
      <c r="K166" s="151">
        <f t="shared" si="5"/>
        <v>795.56723999999997</v>
      </c>
      <c r="L166" s="152">
        <f>Table1[[#This Row],[RERA Carpet Area (Sq. Ft.)]]*1.1</f>
        <v>875.123964</v>
      </c>
      <c r="M166" s="150" t="s">
        <v>168</v>
      </c>
      <c r="N166" s="152" t="s">
        <v>168</v>
      </c>
      <c r="O166" s="152">
        <v>17887500</v>
      </c>
      <c r="P166" s="154">
        <v>10553985</v>
      </c>
      <c r="Q166" s="154">
        <f>Table1[[#This Row],[Agreement Value as per  Excel]]-Table1[[#This Row],[Amt Received as per Excel]]</f>
        <v>7333515</v>
      </c>
      <c r="R166" s="155">
        <f t="shared" si="4"/>
        <v>22483.957484222203</v>
      </c>
      <c r="S166" s="160"/>
      <c r="T166" s="161"/>
      <c r="U166" s="157"/>
    </row>
    <row r="167" spans="2:21" hidden="1" x14ac:dyDescent="0.3">
      <c r="B167" s="148">
        <v>140</v>
      </c>
      <c r="C167" s="148" t="s">
        <v>34</v>
      </c>
      <c r="D167" s="149" t="s">
        <v>221</v>
      </c>
      <c r="E167" s="150">
        <v>904</v>
      </c>
      <c r="F167" s="150" t="s">
        <v>174</v>
      </c>
      <c r="G167" s="150" t="s">
        <v>169</v>
      </c>
      <c r="H167" s="150" t="s">
        <v>170</v>
      </c>
      <c r="I167" s="150" t="str">
        <f>Table1[[#This Row],[Wing]]&amp;-Table1[[#This Row],[Shop No / Office No. / Flat No.]]</f>
        <v>A-904</v>
      </c>
      <c r="J167" s="151">
        <v>73.91</v>
      </c>
      <c r="K167" s="151">
        <f t="shared" si="5"/>
        <v>795.56723999999997</v>
      </c>
      <c r="L167" s="152">
        <f>Table1[[#This Row],[RERA Carpet Area (Sq. Ft.)]]*1.1</f>
        <v>875.123964</v>
      </c>
      <c r="M167" s="150" t="s">
        <v>167</v>
      </c>
      <c r="N167" s="152" t="s">
        <v>167</v>
      </c>
      <c r="O167" s="152"/>
      <c r="P167" s="154"/>
      <c r="Q167" s="154">
        <f>Table1[[#This Row],[Agreement Value as per  Excel]]-Table1[[#This Row],[Amt Received as per Excel]]</f>
        <v>0</v>
      </c>
      <c r="R167" s="155">
        <f t="shared" si="4"/>
        <v>0</v>
      </c>
      <c r="S167" s="160"/>
      <c r="T167" s="161"/>
      <c r="U167" s="157"/>
    </row>
    <row r="168" spans="2:21" x14ac:dyDescent="0.3">
      <c r="B168" s="148">
        <v>141</v>
      </c>
      <c r="C168" s="148" t="s">
        <v>34</v>
      </c>
      <c r="D168" s="149" t="s">
        <v>221</v>
      </c>
      <c r="E168" s="150">
        <v>905</v>
      </c>
      <c r="F168" s="150" t="s">
        <v>172</v>
      </c>
      <c r="G168" s="150" t="s">
        <v>169</v>
      </c>
      <c r="H168" s="150" t="s">
        <v>170</v>
      </c>
      <c r="I168" s="150" t="str">
        <f>Table1[[#This Row],[Wing]]&amp;-Table1[[#This Row],[Shop No / Office No. / Flat No.]]</f>
        <v>A-905</v>
      </c>
      <c r="J168" s="151">
        <v>44.07</v>
      </c>
      <c r="K168" s="151">
        <f t="shared" si="5"/>
        <v>474.36947999999995</v>
      </c>
      <c r="L168" s="152">
        <f>Table1[[#This Row],[RERA Carpet Area (Sq. Ft.)]]*1.1</f>
        <v>521.80642799999998</v>
      </c>
      <c r="M168" s="150" t="s">
        <v>211</v>
      </c>
      <c r="N168" s="152" t="s">
        <v>265</v>
      </c>
      <c r="O168" s="267">
        <v>2374550</v>
      </c>
      <c r="P168" s="268">
        <v>712365</v>
      </c>
      <c r="Q168" s="154">
        <f>Table1[[#This Row],[Agreement Value as per  Excel]]-Table1[[#This Row],[Amt Received as per Excel]]</f>
        <v>1662185</v>
      </c>
      <c r="R168" s="155">
        <f t="shared" si="4"/>
        <v>5005.6972467958949</v>
      </c>
      <c r="S168" s="160"/>
      <c r="T168" s="161"/>
      <c r="U168" s="157"/>
    </row>
    <row r="169" spans="2:21" x14ac:dyDescent="0.3">
      <c r="B169" s="148">
        <v>142</v>
      </c>
      <c r="C169" s="148" t="s">
        <v>34</v>
      </c>
      <c r="D169" s="149" t="s">
        <v>221</v>
      </c>
      <c r="E169" s="150">
        <v>906</v>
      </c>
      <c r="F169" s="150" t="s">
        <v>172</v>
      </c>
      <c r="G169" s="150" t="s">
        <v>169</v>
      </c>
      <c r="H169" s="150" t="s">
        <v>170</v>
      </c>
      <c r="I169" s="150" t="str">
        <f>Table1[[#This Row],[Wing]]&amp;-Table1[[#This Row],[Shop No / Office No. / Flat No.]]</f>
        <v>A-906</v>
      </c>
      <c r="J169" s="151">
        <v>44.13</v>
      </c>
      <c r="K169" s="151">
        <f t="shared" si="5"/>
        <v>475.01531999999997</v>
      </c>
      <c r="L169" s="152">
        <f>Table1[[#This Row],[RERA Carpet Area (Sq. Ft.)]]*1.1</f>
        <v>522.51685199999997</v>
      </c>
      <c r="M169" s="150" t="s">
        <v>211</v>
      </c>
      <c r="N169" s="152" t="s">
        <v>265</v>
      </c>
      <c r="O169" s="267">
        <v>2164500</v>
      </c>
      <c r="P169" s="268">
        <v>2164500</v>
      </c>
      <c r="Q169" s="154">
        <f>Table1[[#This Row],[Agreement Value as per  Excel]]-Table1[[#This Row],[Amt Received as per Excel]]</f>
        <v>0</v>
      </c>
      <c r="R169" s="155">
        <f t="shared" si="4"/>
        <v>4556.6951398535948</v>
      </c>
      <c r="S169" s="160"/>
      <c r="T169" s="161"/>
      <c r="U169" s="157"/>
    </row>
    <row r="170" spans="2:21" x14ac:dyDescent="0.3">
      <c r="B170" s="148">
        <v>143</v>
      </c>
      <c r="C170" s="148" t="s">
        <v>34</v>
      </c>
      <c r="D170" s="149" t="s">
        <v>221</v>
      </c>
      <c r="E170" s="150">
        <v>907</v>
      </c>
      <c r="F170" s="150" t="s">
        <v>173</v>
      </c>
      <c r="G170" s="150" t="s">
        <v>169</v>
      </c>
      <c r="H170" s="150" t="s">
        <v>170</v>
      </c>
      <c r="I170" s="150" t="str">
        <f>Table1[[#This Row],[Wing]]&amp;-Table1[[#This Row],[Shop No / Office No. / Flat No.]]</f>
        <v>A-907</v>
      </c>
      <c r="J170" s="151">
        <v>33.01</v>
      </c>
      <c r="K170" s="151">
        <f t="shared" si="5"/>
        <v>355.31963999999994</v>
      </c>
      <c r="L170" s="152">
        <f>Table1[[#This Row],[RERA Carpet Area (Sq. Ft.)]]*1.1</f>
        <v>390.85160399999995</v>
      </c>
      <c r="M170" s="150" t="s">
        <v>211</v>
      </c>
      <c r="N170" s="152" t="s">
        <v>266</v>
      </c>
      <c r="O170" s="152"/>
      <c r="P170" s="154"/>
      <c r="Q170" s="154">
        <f>Table1[[#This Row],[Agreement Value as per  Excel]]-Table1[[#This Row],[Amt Received as per Excel]]</f>
        <v>0</v>
      </c>
      <c r="R170" s="155">
        <f t="shared" si="4"/>
        <v>0</v>
      </c>
      <c r="S170" s="160"/>
      <c r="T170" s="161"/>
      <c r="U170" s="157"/>
    </row>
    <row r="171" spans="2:21" x14ac:dyDescent="0.3">
      <c r="B171" s="148">
        <v>144</v>
      </c>
      <c r="C171" s="148" t="s">
        <v>34</v>
      </c>
      <c r="D171" s="149" t="s">
        <v>221</v>
      </c>
      <c r="E171" s="150">
        <v>908</v>
      </c>
      <c r="F171" s="150" t="s">
        <v>172</v>
      </c>
      <c r="G171" s="150" t="s">
        <v>169</v>
      </c>
      <c r="H171" s="150" t="s">
        <v>170</v>
      </c>
      <c r="I171" s="150" t="str">
        <f>Table1[[#This Row],[Wing]]&amp;-Table1[[#This Row],[Shop No / Office No. / Flat No.]]</f>
        <v>A-908</v>
      </c>
      <c r="J171" s="151">
        <v>50.84</v>
      </c>
      <c r="K171" s="151">
        <f t="shared" si="5"/>
        <v>547.24176</v>
      </c>
      <c r="L171" s="152">
        <f>Table1[[#This Row],[RERA Carpet Area (Sq. Ft.)]]*1.1</f>
        <v>601.96593600000006</v>
      </c>
      <c r="M171" s="150" t="s">
        <v>211</v>
      </c>
      <c r="N171" s="152" t="s">
        <v>266</v>
      </c>
      <c r="O171" s="152"/>
      <c r="P171" s="154"/>
      <c r="Q171" s="154">
        <f>Table1[[#This Row],[Agreement Value as per  Excel]]-Table1[[#This Row],[Amt Received as per Excel]]</f>
        <v>0</v>
      </c>
      <c r="R171" s="155">
        <f t="shared" si="4"/>
        <v>0</v>
      </c>
      <c r="S171" s="160"/>
      <c r="T171" s="161"/>
      <c r="U171" s="157"/>
    </row>
    <row r="172" spans="2:21" x14ac:dyDescent="0.3">
      <c r="B172" s="148">
        <v>145</v>
      </c>
      <c r="C172" s="148" t="s">
        <v>34</v>
      </c>
      <c r="D172" s="149" t="s">
        <v>221</v>
      </c>
      <c r="E172" s="150">
        <v>909</v>
      </c>
      <c r="F172" s="150" t="s">
        <v>173</v>
      </c>
      <c r="G172" s="150" t="s">
        <v>169</v>
      </c>
      <c r="H172" s="150" t="s">
        <v>170</v>
      </c>
      <c r="I172" s="150" t="str">
        <f>Table1[[#This Row],[Wing]]&amp;-Table1[[#This Row],[Shop No / Office No. / Flat No.]]</f>
        <v>A-909</v>
      </c>
      <c r="J172" s="151">
        <v>34.520000000000003</v>
      </c>
      <c r="K172" s="151">
        <f t="shared" si="5"/>
        <v>371.57328000000001</v>
      </c>
      <c r="L172" s="152">
        <f>Table1[[#This Row],[RERA Carpet Area (Sq. Ft.)]]*1.1</f>
        <v>408.73060800000002</v>
      </c>
      <c r="M172" s="150" t="s">
        <v>211</v>
      </c>
      <c r="N172" s="152" t="s">
        <v>266</v>
      </c>
      <c r="O172" s="152"/>
      <c r="P172" s="154"/>
      <c r="Q172" s="154">
        <f>Table1[[#This Row],[Agreement Value as per  Excel]]-Table1[[#This Row],[Amt Received as per Excel]]</f>
        <v>0</v>
      </c>
      <c r="R172" s="155">
        <f t="shared" si="4"/>
        <v>0</v>
      </c>
      <c r="S172" s="160"/>
      <c r="T172" s="161"/>
      <c r="U172" s="157"/>
    </row>
    <row r="173" spans="2:21" x14ac:dyDescent="0.3">
      <c r="B173" s="148">
        <v>146</v>
      </c>
      <c r="C173" s="148" t="s">
        <v>34</v>
      </c>
      <c r="D173" s="149" t="s">
        <v>221</v>
      </c>
      <c r="E173" s="150">
        <v>910</v>
      </c>
      <c r="F173" s="150" t="s">
        <v>173</v>
      </c>
      <c r="G173" s="150" t="s">
        <v>169</v>
      </c>
      <c r="H173" s="150" t="s">
        <v>170</v>
      </c>
      <c r="I173" s="150" t="str">
        <f>Table1[[#This Row],[Wing]]&amp;-Table1[[#This Row],[Shop No / Office No. / Flat No.]]</f>
        <v>A-910</v>
      </c>
      <c r="J173" s="151">
        <v>33.01</v>
      </c>
      <c r="K173" s="151">
        <f t="shared" si="5"/>
        <v>355.31963999999994</v>
      </c>
      <c r="L173" s="152">
        <f>Table1[[#This Row],[RERA Carpet Area (Sq. Ft.)]]*1.1</f>
        <v>390.85160399999995</v>
      </c>
      <c r="M173" s="150" t="s">
        <v>211</v>
      </c>
      <c r="N173" s="152" t="s">
        <v>266</v>
      </c>
      <c r="O173" s="152"/>
      <c r="P173" s="154"/>
      <c r="Q173" s="154">
        <f>Table1[[#This Row],[Agreement Value as per  Excel]]-Table1[[#This Row],[Amt Received as per Excel]]</f>
        <v>0</v>
      </c>
      <c r="R173" s="155">
        <f t="shared" si="4"/>
        <v>0</v>
      </c>
      <c r="S173" s="160"/>
      <c r="T173" s="161"/>
      <c r="U173" s="157"/>
    </row>
    <row r="174" spans="2:21" x14ac:dyDescent="0.3">
      <c r="B174" s="148">
        <v>147</v>
      </c>
      <c r="C174" s="148" t="s">
        <v>34</v>
      </c>
      <c r="D174" s="149" t="s">
        <v>222</v>
      </c>
      <c r="E174" s="150">
        <v>1001</v>
      </c>
      <c r="F174" s="150" t="s">
        <v>172</v>
      </c>
      <c r="G174" s="150" t="s">
        <v>169</v>
      </c>
      <c r="H174" s="150" t="s">
        <v>170</v>
      </c>
      <c r="I174" s="150" t="str">
        <f>Table1[[#This Row],[Wing]]&amp;-Table1[[#This Row],[Shop No / Office No. / Flat No.]]</f>
        <v>A-1001</v>
      </c>
      <c r="J174" s="151">
        <v>44.07</v>
      </c>
      <c r="K174" s="151">
        <f t="shared" si="5"/>
        <v>474.36947999999995</v>
      </c>
      <c r="L174" s="152">
        <f>Table1[[#This Row],[RERA Carpet Area (Sq. Ft.)]]*1.1</f>
        <v>521.80642799999998</v>
      </c>
      <c r="M174" s="150" t="s">
        <v>211</v>
      </c>
      <c r="N174" s="152" t="s">
        <v>266</v>
      </c>
      <c r="O174" s="152"/>
      <c r="P174" s="154"/>
      <c r="Q174" s="154">
        <f>Table1[[#This Row],[Agreement Value as per  Excel]]-Table1[[#This Row],[Amt Received as per Excel]]</f>
        <v>0</v>
      </c>
      <c r="R174" s="155">
        <f t="shared" si="4"/>
        <v>0</v>
      </c>
      <c r="S174" s="160"/>
      <c r="T174" s="161"/>
      <c r="U174" s="157"/>
    </row>
    <row r="175" spans="2:21" x14ac:dyDescent="0.3">
      <c r="B175" s="148">
        <v>148</v>
      </c>
      <c r="C175" s="148" t="s">
        <v>34</v>
      </c>
      <c r="D175" s="149" t="s">
        <v>222</v>
      </c>
      <c r="E175" s="150">
        <v>1002</v>
      </c>
      <c r="F175" s="150" t="s">
        <v>172</v>
      </c>
      <c r="G175" s="150" t="s">
        <v>169</v>
      </c>
      <c r="H175" s="150" t="s">
        <v>170</v>
      </c>
      <c r="I175" s="150" t="str">
        <f>Table1[[#This Row],[Wing]]&amp;-Table1[[#This Row],[Shop No / Office No. / Flat No.]]</f>
        <v>A-1002</v>
      </c>
      <c r="J175" s="151">
        <v>44.07</v>
      </c>
      <c r="K175" s="151">
        <f t="shared" si="5"/>
        <v>474.36947999999995</v>
      </c>
      <c r="L175" s="152">
        <f>Table1[[#This Row],[RERA Carpet Area (Sq. Ft.)]]*1.1</f>
        <v>521.80642799999998</v>
      </c>
      <c r="M175" s="150" t="s">
        <v>211</v>
      </c>
      <c r="N175" s="152" t="s">
        <v>265</v>
      </c>
      <c r="O175" s="267">
        <v>2374550</v>
      </c>
      <c r="P175" s="268">
        <v>712365</v>
      </c>
      <c r="Q175" s="154">
        <f>Table1[[#This Row],[Agreement Value as per  Excel]]-Table1[[#This Row],[Amt Received as per Excel]]</f>
        <v>1662185</v>
      </c>
      <c r="R175" s="155">
        <f t="shared" si="4"/>
        <v>5005.6972467958949</v>
      </c>
      <c r="S175" s="160"/>
      <c r="T175" s="161"/>
      <c r="U175" s="157"/>
    </row>
    <row r="176" spans="2:21" hidden="1" x14ac:dyDescent="0.3">
      <c r="B176" s="148">
        <v>149</v>
      </c>
      <c r="C176" s="148" t="s">
        <v>34</v>
      </c>
      <c r="D176" s="149" t="s">
        <v>222</v>
      </c>
      <c r="E176" s="150">
        <v>1003</v>
      </c>
      <c r="F176" s="150" t="s">
        <v>174</v>
      </c>
      <c r="G176" s="150" t="s">
        <v>169</v>
      </c>
      <c r="H176" s="150" t="s">
        <v>170</v>
      </c>
      <c r="I176" s="150" t="str">
        <f>Table1[[#This Row],[Wing]]&amp;-Table1[[#This Row],[Shop No / Office No. / Flat No.]]</f>
        <v>A-1003</v>
      </c>
      <c r="J176" s="151">
        <v>73.91</v>
      </c>
      <c r="K176" s="151">
        <f t="shared" si="5"/>
        <v>795.56723999999997</v>
      </c>
      <c r="L176" s="152">
        <f>Table1[[#This Row],[RERA Carpet Area (Sq. Ft.)]]*1.1</f>
        <v>875.123964</v>
      </c>
      <c r="M176" s="150" t="s">
        <v>167</v>
      </c>
      <c r="N176" s="152" t="s">
        <v>168</v>
      </c>
      <c r="O176" s="152">
        <v>14707500</v>
      </c>
      <c r="P176" s="154">
        <v>9229028</v>
      </c>
      <c r="Q176" s="154">
        <f>Table1[[#This Row],[Agreement Value as per  Excel]]-Table1[[#This Row],[Amt Received as per Excel]]</f>
        <v>5478472</v>
      </c>
      <c r="R176" s="155">
        <f t="shared" si="4"/>
        <v>18486.809487027145</v>
      </c>
      <c r="S176" s="160"/>
      <c r="T176" s="161"/>
      <c r="U176" s="157"/>
    </row>
    <row r="177" spans="2:21" x14ac:dyDescent="0.3">
      <c r="B177" s="148">
        <v>150</v>
      </c>
      <c r="C177" s="148" t="s">
        <v>34</v>
      </c>
      <c r="D177" s="149" t="s">
        <v>222</v>
      </c>
      <c r="E177" s="150">
        <v>1004</v>
      </c>
      <c r="F177" s="150" t="s">
        <v>174</v>
      </c>
      <c r="G177" s="150" t="s">
        <v>169</v>
      </c>
      <c r="H177" s="150" t="s">
        <v>166</v>
      </c>
      <c r="I177" s="150" t="str">
        <f>Table1[[#This Row],[Wing]]&amp;-Table1[[#This Row],[Shop No / Office No. / Flat No.]]</f>
        <v>A-1004</v>
      </c>
      <c r="J177" s="151">
        <v>73.91</v>
      </c>
      <c r="K177" s="151">
        <f t="shared" si="5"/>
        <v>795.56723999999997</v>
      </c>
      <c r="L177" s="152">
        <f>Table1[[#This Row],[RERA Carpet Area (Sq. Ft.)]]*1.1</f>
        <v>875.123964</v>
      </c>
      <c r="M177" s="150" t="s">
        <v>211</v>
      </c>
      <c r="N177" s="152" t="s">
        <v>265</v>
      </c>
      <c r="O177" s="272">
        <v>5550000</v>
      </c>
      <c r="P177" s="273">
        <v>5550000</v>
      </c>
      <c r="Q177" s="154">
        <f>Table1[[#This Row],[Agreement Value as per  Excel]]-Table1[[#This Row],[Amt Received as per Excel]]</f>
        <v>0</v>
      </c>
      <c r="R177" s="155">
        <f t="shared" si="4"/>
        <v>6976.1545234064697</v>
      </c>
      <c r="S177" s="160"/>
      <c r="T177" s="161"/>
      <c r="U177" s="157"/>
    </row>
    <row r="178" spans="2:21" x14ac:dyDescent="0.3">
      <c r="B178" s="148">
        <v>151</v>
      </c>
      <c r="C178" s="148" t="s">
        <v>34</v>
      </c>
      <c r="D178" s="149" t="s">
        <v>222</v>
      </c>
      <c r="E178" s="150">
        <v>1005</v>
      </c>
      <c r="F178" s="150" t="s">
        <v>172</v>
      </c>
      <c r="G178" s="150" t="s">
        <v>169</v>
      </c>
      <c r="H178" s="150" t="s">
        <v>170</v>
      </c>
      <c r="I178" s="150" t="str">
        <f>Table1[[#This Row],[Wing]]&amp;-Table1[[#This Row],[Shop No / Office No. / Flat No.]]</f>
        <v>A-1005</v>
      </c>
      <c r="J178" s="151">
        <v>44.07</v>
      </c>
      <c r="K178" s="151">
        <f t="shared" si="5"/>
        <v>474.36947999999995</v>
      </c>
      <c r="L178" s="152">
        <f>Table1[[#This Row],[RERA Carpet Area (Sq. Ft.)]]*1.1</f>
        <v>521.80642799999998</v>
      </c>
      <c r="M178" s="153" t="s">
        <v>211</v>
      </c>
      <c r="N178" s="152" t="s">
        <v>266</v>
      </c>
      <c r="O178" s="152"/>
      <c r="P178" s="154"/>
      <c r="Q178" s="154">
        <f>Table1[[#This Row],[Agreement Value as per  Excel]]-Table1[[#This Row],[Amt Received as per Excel]]</f>
        <v>0</v>
      </c>
      <c r="R178" s="155">
        <f t="shared" si="4"/>
        <v>0</v>
      </c>
      <c r="S178" s="160"/>
      <c r="T178" s="161"/>
      <c r="U178" s="157"/>
    </row>
    <row r="179" spans="2:21" x14ac:dyDescent="0.3">
      <c r="B179" s="148">
        <v>152</v>
      </c>
      <c r="C179" s="148" t="s">
        <v>34</v>
      </c>
      <c r="D179" s="149" t="s">
        <v>222</v>
      </c>
      <c r="E179" s="150">
        <v>1006</v>
      </c>
      <c r="F179" s="150" t="s">
        <v>172</v>
      </c>
      <c r="G179" s="150" t="s">
        <v>169</v>
      </c>
      <c r="H179" s="150" t="s">
        <v>170</v>
      </c>
      <c r="I179" s="150" t="str">
        <f>Table1[[#This Row],[Wing]]&amp;-Table1[[#This Row],[Shop No / Office No. / Flat No.]]</f>
        <v>A-1006</v>
      </c>
      <c r="J179" s="151">
        <v>44.13</v>
      </c>
      <c r="K179" s="151">
        <f t="shared" si="5"/>
        <v>475.01531999999997</v>
      </c>
      <c r="L179" s="152">
        <f>Table1[[#This Row],[RERA Carpet Area (Sq. Ft.)]]*1.1</f>
        <v>522.51685199999997</v>
      </c>
      <c r="M179" s="153" t="s">
        <v>211</v>
      </c>
      <c r="N179" s="152" t="s">
        <v>266</v>
      </c>
      <c r="O179" s="152"/>
      <c r="P179" s="154"/>
      <c r="Q179" s="154">
        <f>Table1[[#This Row],[Agreement Value as per  Excel]]-Table1[[#This Row],[Amt Received as per Excel]]</f>
        <v>0</v>
      </c>
      <c r="R179" s="155">
        <f t="shared" si="4"/>
        <v>0</v>
      </c>
      <c r="S179" s="160"/>
      <c r="T179" s="161"/>
      <c r="U179" s="157"/>
    </row>
    <row r="180" spans="2:21" x14ac:dyDescent="0.3">
      <c r="B180" s="148">
        <v>153</v>
      </c>
      <c r="C180" s="148" t="s">
        <v>34</v>
      </c>
      <c r="D180" s="149" t="s">
        <v>222</v>
      </c>
      <c r="E180" s="150">
        <v>1007</v>
      </c>
      <c r="F180" s="150" t="s">
        <v>173</v>
      </c>
      <c r="G180" s="150" t="s">
        <v>169</v>
      </c>
      <c r="H180" s="150" t="s">
        <v>170</v>
      </c>
      <c r="I180" s="150" t="str">
        <f>Table1[[#This Row],[Wing]]&amp;-Table1[[#This Row],[Shop No / Office No. / Flat No.]]</f>
        <v>A-1007</v>
      </c>
      <c r="J180" s="151">
        <v>33.01</v>
      </c>
      <c r="K180" s="151">
        <f t="shared" si="5"/>
        <v>355.31963999999994</v>
      </c>
      <c r="L180" s="152">
        <f>Table1[[#This Row],[RERA Carpet Area (Sq. Ft.)]]*1.1</f>
        <v>390.85160399999995</v>
      </c>
      <c r="M180" s="153" t="s">
        <v>211</v>
      </c>
      <c r="N180" s="152" t="s">
        <v>266</v>
      </c>
      <c r="O180" s="152"/>
      <c r="P180" s="154"/>
      <c r="Q180" s="154">
        <f>Table1[[#This Row],[Agreement Value as per  Excel]]-Table1[[#This Row],[Amt Received as per Excel]]</f>
        <v>0</v>
      </c>
      <c r="R180" s="155">
        <f t="shared" si="4"/>
        <v>0</v>
      </c>
      <c r="S180" s="160"/>
      <c r="T180" s="161"/>
      <c r="U180" s="157"/>
    </row>
    <row r="181" spans="2:21" x14ac:dyDescent="0.3">
      <c r="B181" s="148">
        <v>154</v>
      </c>
      <c r="C181" s="148" t="s">
        <v>34</v>
      </c>
      <c r="D181" s="149" t="s">
        <v>222</v>
      </c>
      <c r="E181" s="150">
        <v>1008</v>
      </c>
      <c r="F181" s="150" t="s">
        <v>172</v>
      </c>
      <c r="G181" s="150" t="s">
        <v>169</v>
      </c>
      <c r="H181" s="150" t="s">
        <v>170</v>
      </c>
      <c r="I181" s="150" t="str">
        <f>Table1[[#This Row],[Wing]]&amp;-Table1[[#This Row],[Shop No / Office No. / Flat No.]]</f>
        <v>A-1008</v>
      </c>
      <c r="J181" s="151">
        <v>54.17</v>
      </c>
      <c r="K181" s="151">
        <f t="shared" si="5"/>
        <v>583.08587999999997</v>
      </c>
      <c r="L181" s="152">
        <f>Table1[[#This Row],[RERA Carpet Area (Sq. Ft.)]]*1.1</f>
        <v>641.39446800000007</v>
      </c>
      <c r="M181" s="153" t="s">
        <v>211</v>
      </c>
      <c r="N181" s="152" t="s">
        <v>265</v>
      </c>
      <c r="O181" s="267">
        <v>2093650</v>
      </c>
      <c r="P181" s="268">
        <v>627825</v>
      </c>
      <c r="Q181" s="154">
        <f>Table1[[#This Row],[Agreement Value as per  Excel]]-Table1[[#This Row],[Amt Received as per Excel]]</f>
        <v>1465825</v>
      </c>
      <c r="R181" s="155">
        <f t="shared" si="4"/>
        <v>3590.6374546404727</v>
      </c>
      <c r="S181" s="160"/>
      <c r="T181" s="161"/>
      <c r="U181" s="157"/>
    </row>
    <row r="182" spans="2:21" x14ac:dyDescent="0.3">
      <c r="B182" s="148">
        <v>155</v>
      </c>
      <c r="C182" s="148" t="s">
        <v>34</v>
      </c>
      <c r="D182" s="149" t="s">
        <v>222</v>
      </c>
      <c r="E182" s="150">
        <v>1009</v>
      </c>
      <c r="F182" s="150" t="s">
        <v>173</v>
      </c>
      <c r="G182" s="150" t="s">
        <v>169</v>
      </c>
      <c r="H182" s="150" t="s">
        <v>170</v>
      </c>
      <c r="I182" s="150" t="str">
        <f>Table1[[#This Row],[Wing]]&amp;-Table1[[#This Row],[Shop No / Office No. / Flat No.]]</f>
        <v>A-1009</v>
      </c>
      <c r="J182" s="151">
        <v>44.48</v>
      </c>
      <c r="K182" s="151">
        <f t="shared" si="5"/>
        <v>478.78271999999993</v>
      </c>
      <c r="L182" s="152">
        <f>Table1[[#This Row],[RERA Carpet Area (Sq. Ft.)]]*1.1</f>
        <v>526.66099199999996</v>
      </c>
      <c r="M182" s="153" t="s">
        <v>211</v>
      </c>
      <c r="N182" s="152" t="s">
        <v>266</v>
      </c>
      <c r="O182" s="152"/>
      <c r="P182" s="154"/>
      <c r="Q182" s="154">
        <f>Table1[[#This Row],[Agreement Value as per  Excel]]-Table1[[#This Row],[Amt Received as per Excel]]</f>
        <v>0</v>
      </c>
      <c r="R182" s="155">
        <f t="shared" si="4"/>
        <v>0</v>
      </c>
      <c r="S182" s="160"/>
      <c r="T182" s="161"/>
      <c r="U182" s="157"/>
    </row>
    <row r="183" spans="2:21" x14ac:dyDescent="0.3">
      <c r="B183" s="148">
        <v>156</v>
      </c>
      <c r="C183" s="148" t="s">
        <v>34</v>
      </c>
      <c r="D183" s="149" t="s">
        <v>222</v>
      </c>
      <c r="E183" s="150">
        <v>1010</v>
      </c>
      <c r="F183" s="150" t="s">
        <v>173</v>
      </c>
      <c r="G183" s="150" t="s">
        <v>169</v>
      </c>
      <c r="H183" s="150" t="s">
        <v>170</v>
      </c>
      <c r="I183" s="150" t="str">
        <f>Table1[[#This Row],[Wing]]&amp;-Table1[[#This Row],[Shop No / Office No. / Flat No.]]</f>
        <v>A-1010</v>
      </c>
      <c r="J183" s="151">
        <v>33.01</v>
      </c>
      <c r="K183" s="151">
        <f t="shared" si="5"/>
        <v>355.31963999999994</v>
      </c>
      <c r="L183" s="152">
        <f>Table1[[#This Row],[RERA Carpet Area (Sq. Ft.)]]*1.1</f>
        <v>390.85160399999995</v>
      </c>
      <c r="M183" s="153" t="s">
        <v>211</v>
      </c>
      <c r="N183" s="152" t="s">
        <v>266</v>
      </c>
      <c r="O183" s="152"/>
      <c r="P183" s="154"/>
      <c r="Q183" s="154">
        <f>Table1[[#This Row],[Agreement Value as per  Excel]]-Table1[[#This Row],[Amt Received as per Excel]]</f>
        <v>0</v>
      </c>
      <c r="R183" s="155">
        <f t="shared" si="4"/>
        <v>0</v>
      </c>
      <c r="S183" s="160"/>
      <c r="T183" s="161"/>
      <c r="U183" s="157"/>
    </row>
    <row r="184" spans="2:21" x14ac:dyDescent="0.3">
      <c r="B184" s="148">
        <v>157</v>
      </c>
      <c r="C184" s="148" t="s">
        <v>34</v>
      </c>
      <c r="D184" s="149" t="s">
        <v>223</v>
      </c>
      <c r="E184" s="150">
        <v>1101</v>
      </c>
      <c r="F184" s="150" t="s">
        <v>172</v>
      </c>
      <c r="G184" s="150" t="s">
        <v>169</v>
      </c>
      <c r="H184" s="150" t="s">
        <v>170</v>
      </c>
      <c r="I184" s="150" t="str">
        <f>Table1[[#This Row],[Wing]]&amp;-Table1[[#This Row],[Shop No / Office No. / Flat No.]]</f>
        <v>A-1101</v>
      </c>
      <c r="J184" s="151">
        <v>44.07</v>
      </c>
      <c r="K184" s="151">
        <f t="shared" si="5"/>
        <v>474.36947999999995</v>
      </c>
      <c r="L184" s="152">
        <f>Table1[[#This Row],[RERA Carpet Area (Sq. Ft.)]]*1.1</f>
        <v>521.80642799999998</v>
      </c>
      <c r="M184" s="150" t="s">
        <v>211</v>
      </c>
      <c r="N184" s="152" t="s">
        <v>266</v>
      </c>
      <c r="O184" s="152"/>
      <c r="P184" s="154"/>
      <c r="Q184" s="154">
        <f>Table1[[#This Row],[Agreement Value as per  Excel]]-Table1[[#This Row],[Amt Received as per Excel]]</f>
        <v>0</v>
      </c>
      <c r="R184" s="155">
        <f t="shared" si="4"/>
        <v>0</v>
      </c>
      <c r="S184" s="160"/>
      <c r="T184" s="161"/>
      <c r="U184" s="157"/>
    </row>
    <row r="185" spans="2:21" x14ac:dyDescent="0.3">
      <c r="B185" s="148">
        <v>158</v>
      </c>
      <c r="C185" s="148" t="s">
        <v>34</v>
      </c>
      <c r="D185" s="149" t="s">
        <v>223</v>
      </c>
      <c r="E185" s="150">
        <v>1102</v>
      </c>
      <c r="F185" s="150" t="s">
        <v>172</v>
      </c>
      <c r="G185" s="150" t="s">
        <v>169</v>
      </c>
      <c r="H185" s="150" t="s">
        <v>170</v>
      </c>
      <c r="I185" s="150" t="str">
        <f>Table1[[#This Row],[Wing]]&amp;-Table1[[#This Row],[Shop No / Office No. / Flat No.]]</f>
        <v>A-1102</v>
      </c>
      <c r="J185" s="151">
        <v>44.07</v>
      </c>
      <c r="K185" s="151">
        <f t="shared" si="5"/>
        <v>474.36947999999995</v>
      </c>
      <c r="L185" s="152">
        <f>Table1[[#This Row],[RERA Carpet Area (Sq. Ft.)]]*1.1</f>
        <v>521.80642799999998</v>
      </c>
      <c r="M185" s="150" t="s">
        <v>211</v>
      </c>
      <c r="N185" s="152" t="s">
        <v>266</v>
      </c>
      <c r="O185" s="152"/>
      <c r="P185" s="154"/>
      <c r="Q185" s="154">
        <f>Table1[[#This Row],[Agreement Value as per  Excel]]-Table1[[#This Row],[Amt Received as per Excel]]</f>
        <v>0</v>
      </c>
      <c r="R185" s="155">
        <f t="shared" si="4"/>
        <v>0</v>
      </c>
      <c r="S185" s="160"/>
      <c r="T185" s="161"/>
      <c r="U185" s="157"/>
    </row>
    <row r="186" spans="2:21" hidden="1" x14ac:dyDescent="0.3">
      <c r="B186" s="148">
        <v>159</v>
      </c>
      <c r="C186" s="148" t="s">
        <v>34</v>
      </c>
      <c r="D186" s="149" t="s">
        <v>223</v>
      </c>
      <c r="E186" s="150">
        <v>1103</v>
      </c>
      <c r="F186" s="150" t="s">
        <v>174</v>
      </c>
      <c r="G186" s="150" t="s">
        <v>169</v>
      </c>
      <c r="H186" s="150" t="s">
        <v>166</v>
      </c>
      <c r="I186" s="150" t="str">
        <f>Table1[[#This Row],[Wing]]&amp;-Table1[[#This Row],[Shop No / Office No. / Flat No.]]</f>
        <v>A-1103</v>
      </c>
      <c r="J186" s="159">
        <v>73.91</v>
      </c>
      <c r="K186" s="151">
        <f t="shared" si="5"/>
        <v>795.56723999999997</v>
      </c>
      <c r="L186" s="152">
        <f>Table1[[#This Row],[RERA Carpet Area (Sq. Ft.)]]*1.1</f>
        <v>875.123964</v>
      </c>
      <c r="M186" s="150" t="s">
        <v>168</v>
      </c>
      <c r="N186" s="152" t="s">
        <v>168</v>
      </c>
      <c r="O186" s="152">
        <v>18055125</v>
      </c>
      <c r="P186" s="154">
        <v>4601460</v>
      </c>
      <c r="Q186" s="154">
        <f>Table1[[#This Row],[Agreement Value as per  Excel]]-Table1[[#This Row],[Amt Received as per Excel]]</f>
        <v>13453665</v>
      </c>
      <c r="R186" s="155">
        <f t="shared" si="4"/>
        <v>22694.656205300762</v>
      </c>
      <c r="S186" s="160"/>
      <c r="T186" s="161"/>
      <c r="U186" s="157"/>
    </row>
    <row r="187" spans="2:21" s="162" customFormat="1" hidden="1" x14ac:dyDescent="0.3">
      <c r="B187" s="148">
        <v>160</v>
      </c>
      <c r="C187" s="148" t="s">
        <v>34</v>
      </c>
      <c r="D187" s="149" t="s">
        <v>223</v>
      </c>
      <c r="E187" s="150">
        <v>1104</v>
      </c>
      <c r="F187" s="150" t="s">
        <v>174</v>
      </c>
      <c r="G187" s="150" t="s">
        <v>169</v>
      </c>
      <c r="H187" s="150" t="s">
        <v>166</v>
      </c>
      <c r="I187" s="150" t="str">
        <f>Table1[[#This Row],[Wing]]&amp;-Table1[[#This Row],[Shop No / Office No. / Flat No.]]</f>
        <v>A-1104</v>
      </c>
      <c r="J187" s="159">
        <v>73.91</v>
      </c>
      <c r="K187" s="151">
        <f t="shared" si="5"/>
        <v>795.56723999999997</v>
      </c>
      <c r="L187" s="152">
        <f>Table1[[#This Row],[RERA Carpet Area (Sq. Ft.)]]*1.1</f>
        <v>875.123964</v>
      </c>
      <c r="M187" s="150" t="s">
        <v>168</v>
      </c>
      <c r="N187" s="152" t="s">
        <v>168</v>
      </c>
      <c r="O187" s="152">
        <v>13681950</v>
      </c>
      <c r="P187" s="154">
        <v>8053844</v>
      </c>
      <c r="Q187" s="154">
        <f>Table1[[#This Row],[Agreement Value as per  Excel]]-Table1[[#This Row],[Amt Received as per Excel]]</f>
        <v>5628106</v>
      </c>
      <c r="R187" s="155">
        <f t="shared" si="4"/>
        <v>17197.729257931736</v>
      </c>
      <c r="S187" s="160"/>
      <c r="T187" s="161"/>
      <c r="U187" s="157"/>
    </row>
    <row r="188" spans="2:21" hidden="1" x14ac:dyDescent="0.3">
      <c r="B188" s="163">
        <v>161</v>
      </c>
      <c r="C188" s="148" t="s">
        <v>34</v>
      </c>
      <c r="D188" s="149" t="s">
        <v>223</v>
      </c>
      <c r="E188" s="150">
        <v>1105</v>
      </c>
      <c r="F188" s="150" t="s">
        <v>172</v>
      </c>
      <c r="G188" s="150" t="s">
        <v>169</v>
      </c>
      <c r="H188" s="150" t="s">
        <v>170</v>
      </c>
      <c r="I188" s="150" t="str">
        <f>Table1[[#This Row],[Wing]]&amp;-Table1[[#This Row],[Shop No / Office No. / Flat No.]]</f>
        <v>A-1105</v>
      </c>
      <c r="J188" s="151">
        <v>44.07</v>
      </c>
      <c r="K188" s="151">
        <f t="shared" si="5"/>
        <v>474.36947999999995</v>
      </c>
      <c r="L188" s="152">
        <f>Table1[[#This Row],[RERA Carpet Area (Sq. Ft.)]]*1.1</f>
        <v>521.80642799999998</v>
      </c>
      <c r="M188" s="153" t="s">
        <v>211</v>
      </c>
      <c r="N188" s="164" t="s">
        <v>167</v>
      </c>
      <c r="O188" s="164"/>
      <c r="P188" s="154"/>
      <c r="Q188" s="154">
        <f>Table1[[#This Row],[Agreement Value as per  Excel]]-Table1[[#This Row],[Amt Received as per Excel]]</f>
        <v>0</v>
      </c>
      <c r="R188" s="155">
        <f t="shared" si="4"/>
        <v>0</v>
      </c>
      <c r="S188" s="165"/>
      <c r="T188" s="166"/>
      <c r="U188" s="157"/>
    </row>
    <row r="189" spans="2:21" x14ac:dyDescent="0.3">
      <c r="B189" s="148">
        <v>162</v>
      </c>
      <c r="C189" s="148" t="s">
        <v>34</v>
      </c>
      <c r="D189" s="149" t="s">
        <v>223</v>
      </c>
      <c r="E189" s="150">
        <v>1106</v>
      </c>
      <c r="F189" s="150" t="s">
        <v>172</v>
      </c>
      <c r="G189" s="150" t="s">
        <v>169</v>
      </c>
      <c r="H189" s="150" t="s">
        <v>170</v>
      </c>
      <c r="I189" s="150" t="str">
        <f>Table1[[#This Row],[Wing]]&amp;-Table1[[#This Row],[Shop No / Office No. / Flat No.]]</f>
        <v>A-1106</v>
      </c>
      <c r="J189" s="151">
        <v>44.13</v>
      </c>
      <c r="K189" s="151">
        <f t="shared" si="5"/>
        <v>475.01531999999997</v>
      </c>
      <c r="L189" s="152">
        <f>Table1[[#This Row],[RERA Carpet Area (Sq. Ft.)]]*1.1</f>
        <v>522.51685199999997</v>
      </c>
      <c r="M189" s="153" t="s">
        <v>211</v>
      </c>
      <c r="N189" s="152" t="s">
        <v>266</v>
      </c>
      <c r="O189" s="152"/>
      <c r="P189" s="154"/>
      <c r="Q189" s="154">
        <f>Table1[[#This Row],[Agreement Value as per  Excel]]-Table1[[#This Row],[Amt Received as per Excel]]</f>
        <v>0</v>
      </c>
      <c r="R189" s="155">
        <f t="shared" si="4"/>
        <v>0</v>
      </c>
      <c r="S189" s="160"/>
      <c r="T189" s="161"/>
      <c r="U189" s="157"/>
    </row>
    <row r="190" spans="2:21" x14ac:dyDescent="0.3">
      <c r="B190" s="148">
        <v>163</v>
      </c>
      <c r="C190" s="148" t="s">
        <v>34</v>
      </c>
      <c r="D190" s="149" t="s">
        <v>223</v>
      </c>
      <c r="E190" s="150">
        <v>1107</v>
      </c>
      <c r="F190" s="150" t="s">
        <v>173</v>
      </c>
      <c r="G190" s="150" t="s">
        <v>169</v>
      </c>
      <c r="H190" s="150" t="s">
        <v>170</v>
      </c>
      <c r="I190" s="150" t="str">
        <f>Table1[[#This Row],[Wing]]&amp;-Table1[[#This Row],[Shop No / Office No. / Flat No.]]</f>
        <v>A-1107</v>
      </c>
      <c r="J190" s="151">
        <v>33.01</v>
      </c>
      <c r="K190" s="151">
        <f t="shared" si="5"/>
        <v>355.31963999999994</v>
      </c>
      <c r="L190" s="152">
        <f>Table1[[#This Row],[RERA Carpet Area (Sq. Ft.)]]*1.1</f>
        <v>390.85160399999995</v>
      </c>
      <c r="M190" s="153" t="s">
        <v>211</v>
      </c>
      <c r="N190" s="152" t="s">
        <v>266</v>
      </c>
      <c r="O190" s="152"/>
      <c r="P190" s="154"/>
      <c r="Q190" s="154">
        <f>Table1[[#This Row],[Agreement Value as per  Excel]]-Table1[[#This Row],[Amt Received as per Excel]]</f>
        <v>0</v>
      </c>
      <c r="R190" s="155">
        <f t="shared" si="4"/>
        <v>0</v>
      </c>
      <c r="S190" s="160"/>
      <c r="T190" s="161"/>
      <c r="U190" s="157"/>
    </row>
    <row r="191" spans="2:21" x14ac:dyDescent="0.3">
      <c r="B191" s="148">
        <v>164</v>
      </c>
      <c r="C191" s="150" t="s">
        <v>34</v>
      </c>
      <c r="D191" s="149" t="s">
        <v>223</v>
      </c>
      <c r="E191" s="150">
        <v>1108</v>
      </c>
      <c r="F191" s="150" t="s">
        <v>172</v>
      </c>
      <c r="G191" s="150" t="s">
        <v>169</v>
      </c>
      <c r="H191" s="150" t="s">
        <v>166</v>
      </c>
      <c r="I191" s="150" t="str">
        <f>Table1[[#This Row],[Wing]]&amp;-Table1[[#This Row],[Shop No / Office No. / Flat No.]]</f>
        <v>A-1108</v>
      </c>
      <c r="J191" s="151">
        <v>54.17</v>
      </c>
      <c r="K191" s="151">
        <f t="shared" si="5"/>
        <v>583.08587999999997</v>
      </c>
      <c r="L191" s="152">
        <f>Table1[[#This Row],[RERA Carpet Area (Sq. Ft.)]]*1.1</f>
        <v>641.39446800000007</v>
      </c>
      <c r="M191" s="153" t="s">
        <v>211</v>
      </c>
      <c r="N191" s="152" t="s">
        <v>265</v>
      </c>
      <c r="O191" s="267">
        <v>1988968</v>
      </c>
      <c r="P191" s="268">
        <v>1000000</v>
      </c>
      <c r="Q191" s="154">
        <f>Table1[[#This Row],[Agreement Value as per  Excel]]-Table1[[#This Row],[Amt Received as per Excel]]</f>
        <v>988968</v>
      </c>
      <c r="R191" s="155">
        <f t="shared" si="4"/>
        <v>3411.1064394150653</v>
      </c>
      <c r="S191" s="160"/>
      <c r="T191" s="161"/>
      <c r="U191" s="157"/>
    </row>
    <row r="192" spans="2:21" x14ac:dyDescent="0.3">
      <c r="B192" s="148">
        <v>165</v>
      </c>
      <c r="C192" s="148" t="s">
        <v>34</v>
      </c>
      <c r="D192" s="149" t="s">
        <v>223</v>
      </c>
      <c r="E192" s="150">
        <v>1109</v>
      </c>
      <c r="F192" s="150" t="s">
        <v>173</v>
      </c>
      <c r="G192" s="150" t="s">
        <v>169</v>
      </c>
      <c r="H192" s="150" t="s">
        <v>170</v>
      </c>
      <c r="I192" s="150" t="str">
        <f>Table1[[#This Row],[Wing]]&amp;-Table1[[#This Row],[Shop No / Office No. / Flat No.]]</f>
        <v>A-1109</v>
      </c>
      <c r="J192" s="151">
        <v>44.48</v>
      </c>
      <c r="K192" s="151">
        <f t="shared" si="5"/>
        <v>478.78271999999993</v>
      </c>
      <c r="L192" s="152">
        <f>Table1[[#This Row],[RERA Carpet Area (Sq. Ft.)]]*1.1</f>
        <v>526.66099199999996</v>
      </c>
      <c r="M192" s="153" t="s">
        <v>211</v>
      </c>
      <c r="N192" s="152" t="s">
        <v>266</v>
      </c>
      <c r="O192" s="152"/>
      <c r="P192" s="154"/>
      <c r="Q192" s="154">
        <f>Table1[[#This Row],[Agreement Value as per  Excel]]-Table1[[#This Row],[Amt Received as per Excel]]</f>
        <v>0</v>
      </c>
      <c r="R192" s="155">
        <f t="shared" si="4"/>
        <v>0</v>
      </c>
      <c r="S192" s="160"/>
      <c r="T192" s="161"/>
      <c r="U192" s="157"/>
    </row>
    <row r="193" spans="2:21" x14ac:dyDescent="0.3">
      <c r="B193" s="148">
        <v>166</v>
      </c>
      <c r="C193" s="148" t="s">
        <v>34</v>
      </c>
      <c r="D193" s="149" t="s">
        <v>223</v>
      </c>
      <c r="E193" s="150">
        <v>1110</v>
      </c>
      <c r="F193" s="150" t="s">
        <v>173</v>
      </c>
      <c r="G193" s="150" t="s">
        <v>169</v>
      </c>
      <c r="H193" s="150" t="s">
        <v>170</v>
      </c>
      <c r="I193" s="150" t="str">
        <f>Table1[[#This Row],[Wing]]&amp;-Table1[[#This Row],[Shop No / Office No. / Flat No.]]</f>
        <v>A-1110</v>
      </c>
      <c r="J193" s="151">
        <v>33.01</v>
      </c>
      <c r="K193" s="151">
        <f t="shared" si="5"/>
        <v>355.31963999999994</v>
      </c>
      <c r="L193" s="152">
        <f>Table1[[#This Row],[RERA Carpet Area (Sq. Ft.)]]*1.1</f>
        <v>390.85160399999995</v>
      </c>
      <c r="M193" s="153" t="s">
        <v>211</v>
      </c>
      <c r="N193" s="152" t="s">
        <v>266</v>
      </c>
      <c r="O193" s="152"/>
      <c r="P193" s="154"/>
      <c r="Q193" s="154">
        <f>Table1[[#This Row],[Agreement Value as per  Excel]]-Table1[[#This Row],[Amt Received as per Excel]]</f>
        <v>0</v>
      </c>
      <c r="R193" s="155">
        <f t="shared" si="4"/>
        <v>0</v>
      </c>
      <c r="S193" s="160"/>
      <c r="T193" s="161"/>
      <c r="U193" s="157"/>
    </row>
    <row r="194" spans="2:21" x14ac:dyDescent="0.3">
      <c r="B194" s="148">
        <v>167</v>
      </c>
      <c r="C194" s="148" t="s">
        <v>34</v>
      </c>
      <c r="D194" s="149" t="s">
        <v>224</v>
      </c>
      <c r="E194" s="150">
        <v>1201</v>
      </c>
      <c r="F194" s="150" t="s">
        <v>172</v>
      </c>
      <c r="G194" s="150" t="s">
        <v>169</v>
      </c>
      <c r="H194" s="150" t="s">
        <v>170</v>
      </c>
      <c r="I194" s="150" t="str">
        <f>Table1[[#This Row],[Wing]]&amp;-Table1[[#This Row],[Shop No / Office No. / Flat No.]]</f>
        <v>A-1201</v>
      </c>
      <c r="J194" s="151">
        <v>44.07</v>
      </c>
      <c r="K194" s="151">
        <f t="shared" si="5"/>
        <v>474.36947999999995</v>
      </c>
      <c r="L194" s="152">
        <f>Table1[[#This Row],[RERA Carpet Area (Sq. Ft.)]]*1.1</f>
        <v>521.80642799999998</v>
      </c>
      <c r="M194" s="150" t="s">
        <v>211</v>
      </c>
      <c r="N194" s="152" t="s">
        <v>266</v>
      </c>
      <c r="O194" s="152"/>
      <c r="P194" s="154"/>
      <c r="Q194" s="154">
        <f>Table1[[#This Row],[Agreement Value as per  Excel]]-Table1[[#This Row],[Amt Received as per Excel]]</f>
        <v>0</v>
      </c>
      <c r="R194" s="155">
        <f t="shared" si="4"/>
        <v>0</v>
      </c>
      <c r="S194" s="160"/>
      <c r="T194" s="161"/>
      <c r="U194" s="157"/>
    </row>
    <row r="195" spans="2:21" x14ac:dyDescent="0.3">
      <c r="B195" s="148">
        <v>168</v>
      </c>
      <c r="C195" s="148" t="s">
        <v>34</v>
      </c>
      <c r="D195" s="149" t="s">
        <v>224</v>
      </c>
      <c r="E195" s="150">
        <v>1202</v>
      </c>
      <c r="F195" s="150" t="s">
        <v>172</v>
      </c>
      <c r="G195" s="150" t="s">
        <v>169</v>
      </c>
      <c r="H195" s="150" t="s">
        <v>170</v>
      </c>
      <c r="I195" s="150" t="str">
        <f>Table1[[#This Row],[Wing]]&amp;-Table1[[#This Row],[Shop No / Office No. / Flat No.]]</f>
        <v>A-1202</v>
      </c>
      <c r="J195" s="151">
        <v>44.07</v>
      </c>
      <c r="K195" s="151">
        <f t="shared" si="5"/>
        <v>474.36947999999995</v>
      </c>
      <c r="L195" s="152">
        <f>Table1[[#This Row],[RERA Carpet Area (Sq. Ft.)]]*1.1</f>
        <v>521.80642799999998</v>
      </c>
      <c r="M195" s="150" t="s">
        <v>211</v>
      </c>
      <c r="N195" s="152" t="s">
        <v>266</v>
      </c>
      <c r="O195" s="152"/>
      <c r="P195" s="154"/>
      <c r="Q195" s="154">
        <f>Table1[[#This Row],[Agreement Value as per  Excel]]-Table1[[#This Row],[Amt Received as per Excel]]</f>
        <v>0</v>
      </c>
      <c r="R195" s="155">
        <f t="shared" ref="R195:R258" si="6">IFERROR(O195/K195,0)</f>
        <v>0</v>
      </c>
      <c r="S195" s="160"/>
      <c r="T195" s="161"/>
      <c r="U195" s="157"/>
    </row>
    <row r="196" spans="2:21" hidden="1" x14ac:dyDescent="0.3">
      <c r="B196" s="148">
        <v>169</v>
      </c>
      <c r="C196" s="148" t="s">
        <v>34</v>
      </c>
      <c r="D196" s="149" t="s">
        <v>224</v>
      </c>
      <c r="E196" s="150">
        <v>1203</v>
      </c>
      <c r="F196" s="150" t="s">
        <v>174</v>
      </c>
      <c r="G196" s="150" t="s">
        <v>169</v>
      </c>
      <c r="H196" s="150" t="s">
        <v>166</v>
      </c>
      <c r="I196" s="150" t="str">
        <f>Table1[[#This Row],[Wing]]&amp;-Table1[[#This Row],[Shop No / Office No. / Flat No.]]</f>
        <v>A-1203</v>
      </c>
      <c r="J196" s="159">
        <v>73.91</v>
      </c>
      <c r="K196" s="151">
        <f t="shared" si="5"/>
        <v>795.56723999999997</v>
      </c>
      <c r="L196" s="152">
        <f>Table1[[#This Row],[RERA Carpet Area (Sq. Ft.)]]*1.1</f>
        <v>875.123964</v>
      </c>
      <c r="M196" s="150" t="s">
        <v>168</v>
      </c>
      <c r="N196" s="152" t="s">
        <v>168</v>
      </c>
      <c r="O196" s="152">
        <v>19080000</v>
      </c>
      <c r="P196" s="154">
        <v>11450700</v>
      </c>
      <c r="Q196" s="154">
        <f>Table1[[#This Row],[Agreement Value as per  Excel]]-Table1[[#This Row],[Amt Received as per Excel]]</f>
        <v>7629300</v>
      </c>
      <c r="R196" s="155">
        <f t="shared" si="6"/>
        <v>23982.887983170349</v>
      </c>
      <c r="S196" s="160"/>
      <c r="T196" s="161"/>
      <c r="U196" s="157"/>
    </row>
    <row r="197" spans="2:21" s="162" customFormat="1" hidden="1" x14ac:dyDescent="0.3">
      <c r="B197" s="148">
        <v>170</v>
      </c>
      <c r="C197" s="148" t="s">
        <v>34</v>
      </c>
      <c r="D197" s="149" t="s">
        <v>224</v>
      </c>
      <c r="E197" s="150">
        <v>1204</v>
      </c>
      <c r="F197" s="150" t="s">
        <v>174</v>
      </c>
      <c r="G197" s="150" t="s">
        <v>169</v>
      </c>
      <c r="H197" s="150" t="s">
        <v>166</v>
      </c>
      <c r="I197" s="150" t="str">
        <f>Table1[[#This Row],[Wing]]&amp;-Table1[[#This Row],[Shop No / Office No. / Flat No.]]</f>
        <v>A-1204</v>
      </c>
      <c r="J197" s="159">
        <v>73.91</v>
      </c>
      <c r="K197" s="151">
        <f t="shared" si="5"/>
        <v>795.56723999999997</v>
      </c>
      <c r="L197" s="152">
        <f>Table1[[#This Row],[RERA Carpet Area (Sq. Ft.)]]*1.1</f>
        <v>875.123964</v>
      </c>
      <c r="M197" s="150" t="s">
        <v>168</v>
      </c>
      <c r="N197" s="152" t="s">
        <v>168</v>
      </c>
      <c r="O197" s="152">
        <v>14707500</v>
      </c>
      <c r="P197" s="154">
        <v>735375</v>
      </c>
      <c r="Q197" s="154">
        <f>Table1[[#This Row],[Agreement Value as per  Excel]]-Table1[[#This Row],[Amt Received as per Excel]]</f>
        <v>13972125</v>
      </c>
      <c r="R197" s="155">
        <f t="shared" si="6"/>
        <v>18486.809487027145</v>
      </c>
      <c r="S197" s="160"/>
      <c r="T197" s="161"/>
      <c r="U197" s="157"/>
    </row>
    <row r="198" spans="2:21" x14ac:dyDescent="0.3">
      <c r="B198" s="163">
        <v>171</v>
      </c>
      <c r="C198" s="148" t="s">
        <v>34</v>
      </c>
      <c r="D198" s="149" t="s">
        <v>224</v>
      </c>
      <c r="E198" s="150">
        <v>1205</v>
      </c>
      <c r="F198" s="150" t="s">
        <v>172</v>
      </c>
      <c r="G198" s="150" t="s">
        <v>169</v>
      </c>
      <c r="H198" s="150" t="s">
        <v>170</v>
      </c>
      <c r="I198" s="150" t="str">
        <f>Table1[[#This Row],[Wing]]&amp;-Table1[[#This Row],[Shop No / Office No. / Flat No.]]</f>
        <v>A-1205</v>
      </c>
      <c r="J198" s="151">
        <v>44.07</v>
      </c>
      <c r="K198" s="151">
        <f t="shared" si="5"/>
        <v>474.36947999999995</v>
      </c>
      <c r="L198" s="152">
        <f>Table1[[#This Row],[RERA Carpet Area (Sq. Ft.)]]*1.1</f>
        <v>521.80642799999998</v>
      </c>
      <c r="M198" s="153" t="s">
        <v>211</v>
      </c>
      <c r="N198" s="164" t="s">
        <v>265</v>
      </c>
      <c r="O198" s="269">
        <v>2374550</v>
      </c>
      <c r="P198" s="268">
        <v>712365</v>
      </c>
      <c r="Q198" s="154">
        <f>Table1[[#This Row],[Agreement Value as per  Excel]]-Table1[[#This Row],[Amt Received as per Excel]]</f>
        <v>1662185</v>
      </c>
      <c r="R198" s="155">
        <f t="shared" si="6"/>
        <v>5005.6972467958949</v>
      </c>
      <c r="S198" s="165"/>
      <c r="T198" s="166"/>
      <c r="U198" s="157"/>
    </row>
    <row r="199" spans="2:21" x14ac:dyDescent="0.3">
      <c r="B199" s="148">
        <v>172</v>
      </c>
      <c r="C199" s="148" t="s">
        <v>34</v>
      </c>
      <c r="D199" s="149" t="s">
        <v>224</v>
      </c>
      <c r="E199" s="150">
        <v>1206</v>
      </c>
      <c r="F199" s="150" t="s">
        <v>172</v>
      </c>
      <c r="G199" s="150" t="s">
        <v>169</v>
      </c>
      <c r="H199" s="150" t="s">
        <v>170</v>
      </c>
      <c r="I199" s="150" t="str">
        <f>Table1[[#This Row],[Wing]]&amp;-Table1[[#This Row],[Shop No / Office No. / Flat No.]]</f>
        <v>A-1206</v>
      </c>
      <c r="J199" s="151">
        <v>44.13</v>
      </c>
      <c r="K199" s="151">
        <f t="shared" si="5"/>
        <v>475.01531999999997</v>
      </c>
      <c r="L199" s="152">
        <f>Table1[[#This Row],[RERA Carpet Area (Sq. Ft.)]]*1.1</f>
        <v>522.51685199999997</v>
      </c>
      <c r="M199" s="153" t="s">
        <v>211</v>
      </c>
      <c r="N199" s="152" t="s">
        <v>266</v>
      </c>
      <c r="O199" s="152"/>
      <c r="P199" s="154"/>
      <c r="Q199" s="154">
        <f>Table1[[#This Row],[Agreement Value as per  Excel]]-Table1[[#This Row],[Amt Received as per Excel]]</f>
        <v>0</v>
      </c>
      <c r="R199" s="155">
        <f t="shared" si="6"/>
        <v>0</v>
      </c>
      <c r="S199" s="160"/>
      <c r="T199" s="161"/>
      <c r="U199" s="157"/>
    </row>
    <row r="200" spans="2:21" x14ac:dyDescent="0.3">
      <c r="B200" s="148">
        <v>173</v>
      </c>
      <c r="C200" s="150" t="s">
        <v>34</v>
      </c>
      <c r="D200" s="149" t="s">
        <v>224</v>
      </c>
      <c r="E200" s="150">
        <v>1207</v>
      </c>
      <c r="F200" s="150" t="s">
        <v>173</v>
      </c>
      <c r="G200" s="150" t="s">
        <v>169</v>
      </c>
      <c r="H200" s="150" t="s">
        <v>170</v>
      </c>
      <c r="I200" s="150" t="str">
        <f>Table1[[#This Row],[Wing]]&amp;-Table1[[#This Row],[Shop No / Office No. / Flat No.]]</f>
        <v>A-1207</v>
      </c>
      <c r="J200" s="151">
        <v>33.01</v>
      </c>
      <c r="K200" s="151">
        <f t="shared" si="5"/>
        <v>355.31963999999994</v>
      </c>
      <c r="L200" s="152">
        <f>Table1[[#This Row],[RERA Carpet Area (Sq. Ft.)]]*1.1</f>
        <v>390.85160399999995</v>
      </c>
      <c r="M200" s="153" t="s">
        <v>211</v>
      </c>
      <c r="N200" s="152" t="s">
        <v>266</v>
      </c>
      <c r="O200" s="152"/>
      <c r="P200" s="154"/>
      <c r="Q200" s="154">
        <f>Table1[[#This Row],[Agreement Value as per  Excel]]-Table1[[#This Row],[Amt Received as per Excel]]</f>
        <v>0</v>
      </c>
      <c r="R200" s="155">
        <f t="shared" si="6"/>
        <v>0</v>
      </c>
      <c r="S200" s="160"/>
      <c r="T200" s="161"/>
      <c r="U200" s="157"/>
    </row>
    <row r="201" spans="2:21" ht="66" hidden="1" x14ac:dyDescent="0.3">
      <c r="B201" s="167">
        <v>174</v>
      </c>
      <c r="C201" s="168" t="s">
        <v>34</v>
      </c>
      <c r="D201" s="169" t="s">
        <v>224</v>
      </c>
      <c r="E201" s="168">
        <v>1208</v>
      </c>
      <c r="F201" s="168" t="s">
        <v>172</v>
      </c>
      <c r="G201" s="168" t="s">
        <v>169</v>
      </c>
      <c r="H201" s="168" t="s">
        <v>166</v>
      </c>
      <c r="I201" s="168" t="str">
        <f>Table1[[#This Row],[Wing]]&amp;-Table1[[#This Row],[Shop No / Office No. / Flat No.]]</f>
        <v>A-1208</v>
      </c>
      <c r="J201" s="159">
        <v>54.17</v>
      </c>
      <c r="K201" s="159">
        <f t="shared" si="5"/>
        <v>583.08587999999997</v>
      </c>
      <c r="L201" s="170">
        <f>Table1[[#This Row],[RERA Carpet Area (Sq. Ft.)]]*1.1</f>
        <v>641.39446800000007</v>
      </c>
      <c r="M201" s="171" t="s">
        <v>211</v>
      </c>
      <c r="N201" s="170" t="s">
        <v>168</v>
      </c>
      <c r="O201" s="170">
        <v>9166950</v>
      </c>
      <c r="P201" s="172">
        <v>4125128</v>
      </c>
      <c r="Q201" s="154">
        <f>Table1[[#This Row],[Agreement Value as per  Excel]]-Table1[[#This Row],[Amt Received as per Excel]]</f>
        <v>5041822</v>
      </c>
      <c r="R201" s="155">
        <f t="shared" si="6"/>
        <v>15721.440553491024</v>
      </c>
      <c r="S201" s="160" t="s">
        <v>255</v>
      </c>
      <c r="T201" s="161"/>
      <c r="U201" s="157"/>
    </row>
    <row r="202" spans="2:21" x14ac:dyDescent="0.3">
      <c r="B202" s="148">
        <v>175</v>
      </c>
      <c r="C202" s="150" t="s">
        <v>34</v>
      </c>
      <c r="D202" s="149" t="s">
        <v>224</v>
      </c>
      <c r="E202" s="150">
        <v>1209</v>
      </c>
      <c r="F202" s="150" t="s">
        <v>173</v>
      </c>
      <c r="G202" s="150" t="s">
        <v>169</v>
      </c>
      <c r="H202" s="150" t="s">
        <v>170</v>
      </c>
      <c r="I202" s="150" t="str">
        <f>Table1[[#This Row],[Wing]]&amp;-Table1[[#This Row],[Shop No / Office No. / Flat No.]]</f>
        <v>A-1209</v>
      </c>
      <c r="J202" s="151">
        <v>44.48</v>
      </c>
      <c r="K202" s="151">
        <f t="shared" si="5"/>
        <v>478.78271999999993</v>
      </c>
      <c r="L202" s="152">
        <f>Table1[[#This Row],[RERA Carpet Area (Sq. Ft.)]]*1.1</f>
        <v>526.66099199999996</v>
      </c>
      <c r="M202" s="153" t="s">
        <v>211</v>
      </c>
      <c r="N202" s="152" t="s">
        <v>266</v>
      </c>
      <c r="O202" s="152"/>
      <c r="P202" s="154"/>
      <c r="Q202" s="154">
        <f>Table1[[#This Row],[Agreement Value as per  Excel]]-Table1[[#This Row],[Amt Received as per Excel]]</f>
        <v>0</v>
      </c>
      <c r="R202" s="155">
        <f t="shared" si="6"/>
        <v>0</v>
      </c>
      <c r="S202" s="160"/>
      <c r="T202" s="161"/>
      <c r="U202" s="157"/>
    </row>
    <row r="203" spans="2:21" x14ac:dyDescent="0.3">
      <c r="B203" s="148">
        <v>176</v>
      </c>
      <c r="C203" s="148" t="s">
        <v>34</v>
      </c>
      <c r="D203" s="149" t="s">
        <v>224</v>
      </c>
      <c r="E203" s="150">
        <v>1210</v>
      </c>
      <c r="F203" s="150" t="s">
        <v>173</v>
      </c>
      <c r="G203" s="150" t="s">
        <v>169</v>
      </c>
      <c r="H203" s="150" t="s">
        <v>170</v>
      </c>
      <c r="I203" s="150" t="str">
        <f>Table1[[#This Row],[Wing]]&amp;-Table1[[#This Row],[Shop No / Office No. / Flat No.]]</f>
        <v>A-1210</v>
      </c>
      <c r="J203" s="151">
        <v>33.01</v>
      </c>
      <c r="K203" s="151">
        <f t="shared" si="5"/>
        <v>355.31963999999994</v>
      </c>
      <c r="L203" s="152">
        <f>Table1[[#This Row],[RERA Carpet Area (Sq. Ft.)]]*1.1</f>
        <v>390.85160399999995</v>
      </c>
      <c r="M203" s="153" t="s">
        <v>211</v>
      </c>
      <c r="N203" s="152" t="s">
        <v>266</v>
      </c>
      <c r="O203" s="152"/>
      <c r="P203" s="154"/>
      <c r="Q203" s="154">
        <f>Table1[[#This Row],[Agreement Value as per  Excel]]-Table1[[#This Row],[Amt Received as per Excel]]</f>
        <v>0</v>
      </c>
      <c r="R203" s="155">
        <f t="shared" si="6"/>
        <v>0</v>
      </c>
      <c r="S203" s="160"/>
      <c r="T203" s="161"/>
      <c r="U203" s="157"/>
    </row>
    <row r="204" spans="2:21" x14ac:dyDescent="0.3">
      <c r="B204" s="148">
        <v>177</v>
      </c>
      <c r="C204" s="148" t="s">
        <v>34</v>
      </c>
      <c r="D204" s="149" t="s">
        <v>225</v>
      </c>
      <c r="E204" s="150">
        <v>1301</v>
      </c>
      <c r="F204" s="150" t="s">
        <v>172</v>
      </c>
      <c r="G204" s="150" t="s">
        <v>169</v>
      </c>
      <c r="H204" s="150" t="s">
        <v>170</v>
      </c>
      <c r="I204" s="150" t="str">
        <f>Table1[[#This Row],[Wing]]&amp;-Table1[[#This Row],[Shop No / Office No. / Flat No.]]</f>
        <v>A-1301</v>
      </c>
      <c r="J204" s="151">
        <v>44.07</v>
      </c>
      <c r="K204" s="151">
        <f t="shared" si="5"/>
        <v>474.36947999999995</v>
      </c>
      <c r="L204" s="152">
        <f>Table1[[#This Row],[RERA Carpet Area (Sq. Ft.)]]*1.1</f>
        <v>521.80642799999998</v>
      </c>
      <c r="M204" s="150" t="s">
        <v>211</v>
      </c>
      <c r="N204" s="152" t="s">
        <v>266</v>
      </c>
      <c r="O204" s="152"/>
      <c r="P204" s="154"/>
      <c r="Q204" s="154">
        <f>Table1[[#This Row],[Agreement Value as per  Excel]]-Table1[[#This Row],[Amt Received as per Excel]]</f>
        <v>0</v>
      </c>
      <c r="R204" s="155">
        <f t="shared" si="6"/>
        <v>0</v>
      </c>
      <c r="S204" s="160"/>
      <c r="T204" s="161"/>
      <c r="U204" s="157"/>
    </row>
    <row r="205" spans="2:21" hidden="1" x14ac:dyDescent="0.3">
      <c r="B205" s="148">
        <v>178</v>
      </c>
      <c r="C205" s="148" t="s">
        <v>34</v>
      </c>
      <c r="D205" s="149" t="s">
        <v>225</v>
      </c>
      <c r="E205" s="150">
        <v>1302</v>
      </c>
      <c r="F205" s="150" t="s">
        <v>172</v>
      </c>
      <c r="G205" s="150" t="s">
        <v>169</v>
      </c>
      <c r="H205" s="150" t="s">
        <v>170</v>
      </c>
      <c r="I205" s="150" t="str">
        <f>Table1[[#This Row],[Wing]]&amp;-Table1[[#This Row],[Shop No / Office No. / Flat No.]]</f>
        <v>A-1302</v>
      </c>
      <c r="J205" s="151">
        <v>44.07</v>
      </c>
      <c r="K205" s="151">
        <f t="shared" si="5"/>
        <v>474.36947999999995</v>
      </c>
      <c r="L205" s="152">
        <f>Table1[[#This Row],[RERA Carpet Area (Sq. Ft.)]]*1.1</f>
        <v>521.80642799999998</v>
      </c>
      <c r="M205" s="150" t="s">
        <v>211</v>
      </c>
      <c r="N205" s="152" t="s">
        <v>168</v>
      </c>
      <c r="O205" s="152">
        <v>9494200</v>
      </c>
      <c r="P205" s="154">
        <v>3370850</v>
      </c>
      <c r="Q205" s="154">
        <f>Table1[[#This Row],[Agreement Value as per  Excel]]-Table1[[#This Row],[Amt Received as per Excel]]</f>
        <v>6123350</v>
      </c>
      <c r="R205" s="155">
        <f t="shared" si="6"/>
        <v>20014.35674150032</v>
      </c>
      <c r="S205" s="160"/>
      <c r="T205" s="161"/>
      <c r="U205" s="157"/>
    </row>
    <row r="206" spans="2:21" hidden="1" x14ac:dyDescent="0.3">
      <c r="B206" s="148">
        <v>179</v>
      </c>
      <c r="C206" s="148" t="s">
        <v>34</v>
      </c>
      <c r="D206" s="149" t="s">
        <v>225</v>
      </c>
      <c r="E206" s="150">
        <v>1303</v>
      </c>
      <c r="F206" s="150" t="s">
        <v>174</v>
      </c>
      <c r="G206" s="150" t="s">
        <v>169</v>
      </c>
      <c r="H206" s="150" t="s">
        <v>166</v>
      </c>
      <c r="I206" s="150" t="str">
        <f>Table1[[#This Row],[Wing]]&amp;-Table1[[#This Row],[Shop No / Office No. / Flat No.]]</f>
        <v>A-1303</v>
      </c>
      <c r="J206" s="159">
        <v>73.91</v>
      </c>
      <c r="K206" s="151">
        <f t="shared" si="5"/>
        <v>795.56723999999997</v>
      </c>
      <c r="L206" s="152">
        <f>Table1[[#This Row],[RERA Carpet Area (Sq. Ft.)]]*1.1</f>
        <v>875.123964</v>
      </c>
      <c r="M206" s="150" t="s">
        <v>168</v>
      </c>
      <c r="N206" s="152" t="s">
        <v>168</v>
      </c>
      <c r="O206" s="152">
        <v>18374040</v>
      </c>
      <c r="P206" s="154">
        <v>9540024</v>
      </c>
      <c r="Q206" s="154">
        <f>Table1[[#This Row],[Agreement Value as per  Excel]]-Table1[[#This Row],[Amt Received as per Excel]]</f>
        <v>8834016</v>
      </c>
      <c r="R206" s="155">
        <f t="shared" si="6"/>
        <v>23095.521127793047</v>
      </c>
      <c r="S206" s="160"/>
      <c r="T206" s="161"/>
      <c r="U206" s="157"/>
    </row>
    <row r="207" spans="2:21" x14ac:dyDescent="0.3">
      <c r="B207" s="148">
        <v>180</v>
      </c>
      <c r="C207" s="148" t="s">
        <v>34</v>
      </c>
      <c r="D207" s="149" t="s">
        <v>225</v>
      </c>
      <c r="E207" s="150">
        <v>1304</v>
      </c>
      <c r="F207" s="150" t="s">
        <v>174</v>
      </c>
      <c r="G207" s="150" t="s">
        <v>169</v>
      </c>
      <c r="H207" s="150" t="s">
        <v>166</v>
      </c>
      <c r="I207" s="150" t="str">
        <f>Table1[[#This Row],[Wing]]&amp;-Table1[[#This Row],[Shop No / Office No. / Flat No.]]</f>
        <v>A-1304</v>
      </c>
      <c r="J207" s="151">
        <v>73.91</v>
      </c>
      <c r="K207" s="151">
        <f t="shared" si="5"/>
        <v>795.56723999999997</v>
      </c>
      <c r="L207" s="152">
        <f>Table1[[#This Row],[RERA Carpet Area (Sq. Ft.)]]*1.1</f>
        <v>875.123964</v>
      </c>
      <c r="M207" s="150" t="s">
        <v>211</v>
      </c>
      <c r="N207" s="152" t="s">
        <v>265</v>
      </c>
      <c r="O207" s="272">
        <f>338.57*20000</f>
        <v>6771400</v>
      </c>
      <c r="P207" s="273">
        <v>1650000</v>
      </c>
      <c r="Q207" s="154">
        <f>Table1[[#This Row],[Agreement Value as per  Excel]]-Table1[[#This Row],[Amt Received as per Excel]]</f>
        <v>5121400</v>
      </c>
      <c r="R207" s="155">
        <f t="shared" si="6"/>
        <v>8511.4113044674887</v>
      </c>
      <c r="S207" s="160"/>
      <c r="T207" s="161"/>
      <c r="U207" s="157"/>
    </row>
    <row r="208" spans="2:21" hidden="1" x14ac:dyDescent="0.3">
      <c r="B208" s="148">
        <v>181</v>
      </c>
      <c r="C208" s="148" t="s">
        <v>34</v>
      </c>
      <c r="D208" s="149" t="s">
        <v>225</v>
      </c>
      <c r="E208" s="150">
        <v>1305</v>
      </c>
      <c r="F208" s="150" t="s">
        <v>172</v>
      </c>
      <c r="G208" s="150" t="s">
        <v>169</v>
      </c>
      <c r="H208" s="150" t="s">
        <v>170</v>
      </c>
      <c r="I208" s="150" t="str">
        <f>Table1[[#This Row],[Wing]]&amp;-Table1[[#This Row],[Shop No / Office No. / Flat No.]]</f>
        <v>A-1305</v>
      </c>
      <c r="J208" s="151">
        <v>44.07</v>
      </c>
      <c r="K208" s="151">
        <f t="shared" si="5"/>
        <v>474.36947999999995</v>
      </c>
      <c r="L208" s="152">
        <f>Table1[[#This Row],[RERA Carpet Area (Sq. Ft.)]]*1.1</f>
        <v>521.80642799999998</v>
      </c>
      <c r="M208" s="153" t="s">
        <v>211</v>
      </c>
      <c r="N208" s="152" t="s">
        <v>167</v>
      </c>
      <c r="O208" s="152"/>
      <c r="P208" s="154"/>
      <c r="Q208" s="154">
        <f>Table1[[#This Row],[Agreement Value as per  Excel]]-Table1[[#This Row],[Amt Received as per Excel]]</f>
        <v>0</v>
      </c>
      <c r="R208" s="155">
        <f t="shared" si="6"/>
        <v>0</v>
      </c>
      <c r="S208" s="160"/>
      <c r="T208" s="161"/>
      <c r="U208" s="157"/>
    </row>
    <row r="209" spans="2:21" x14ac:dyDescent="0.3">
      <c r="B209" s="148">
        <v>182</v>
      </c>
      <c r="C209" s="148" t="s">
        <v>34</v>
      </c>
      <c r="D209" s="149" t="s">
        <v>225</v>
      </c>
      <c r="E209" s="150">
        <v>1306</v>
      </c>
      <c r="F209" s="150" t="s">
        <v>172</v>
      </c>
      <c r="G209" s="150" t="s">
        <v>169</v>
      </c>
      <c r="H209" s="150" t="s">
        <v>170</v>
      </c>
      <c r="I209" s="150" t="str">
        <f>Table1[[#This Row],[Wing]]&amp;-Table1[[#This Row],[Shop No / Office No. / Flat No.]]</f>
        <v>A-1306</v>
      </c>
      <c r="J209" s="151">
        <v>44.13</v>
      </c>
      <c r="K209" s="151">
        <f t="shared" si="5"/>
        <v>475.01531999999997</v>
      </c>
      <c r="L209" s="152">
        <f>Table1[[#This Row],[RERA Carpet Area (Sq. Ft.)]]*1.1</f>
        <v>522.51685199999997</v>
      </c>
      <c r="M209" s="153" t="s">
        <v>211</v>
      </c>
      <c r="N209" s="152" t="s">
        <v>265</v>
      </c>
      <c r="O209" s="267">
        <v>2374550</v>
      </c>
      <c r="P209" s="268">
        <v>712365</v>
      </c>
      <c r="Q209" s="154">
        <f>Table1[[#This Row],[Agreement Value as per  Excel]]-Table1[[#This Row],[Amt Received as per Excel]]</f>
        <v>1662185</v>
      </c>
      <c r="R209" s="155">
        <f t="shared" si="6"/>
        <v>4998.8914041761855</v>
      </c>
      <c r="S209" s="160"/>
      <c r="T209" s="161"/>
      <c r="U209" s="157"/>
    </row>
    <row r="210" spans="2:21" x14ac:dyDescent="0.3">
      <c r="B210" s="148">
        <v>183</v>
      </c>
      <c r="C210" s="148" t="s">
        <v>34</v>
      </c>
      <c r="D210" s="149" t="s">
        <v>225</v>
      </c>
      <c r="E210" s="150">
        <v>1307</v>
      </c>
      <c r="F210" s="150" t="s">
        <v>173</v>
      </c>
      <c r="G210" s="150" t="s">
        <v>169</v>
      </c>
      <c r="H210" s="150" t="s">
        <v>170</v>
      </c>
      <c r="I210" s="150" t="str">
        <f>Table1[[#This Row],[Wing]]&amp;-Table1[[#This Row],[Shop No / Office No. / Flat No.]]</f>
        <v>A-1307</v>
      </c>
      <c r="J210" s="151">
        <v>33.01</v>
      </c>
      <c r="K210" s="151">
        <f t="shared" si="5"/>
        <v>355.31963999999994</v>
      </c>
      <c r="L210" s="152">
        <f>Table1[[#This Row],[RERA Carpet Area (Sq. Ft.)]]*1.1</f>
        <v>390.85160399999995</v>
      </c>
      <c r="M210" s="153" t="s">
        <v>211</v>
      </c>
      <c r="N210" s="152" t="s">
        <v>266</v>
      </c>
      <c r="O210" s="152"/>
      <c r="P210" s="154"/>
      <c r="Q210" s="154">
        <f>Table1[[#This Row],[Agreement Value as per  Excel]]-Table1[[#This Row],[Amt Received as per Excel]]</f>
        <v>0</v>
      </c>
      <c r="R210" s="155">
        <f t="shared" si="6"/>
        <v>0</v>
      </c>
      <c r="S210" s="160"/>
      <c r="T210" s="161"/>
      <c r="U210" s="157"/>
    </row>
    <row r="211" spans="2:21" x14ac:dyDescent="0.3">
      <c r="B211" s="148">
        <v>184</v>
      </c>
      <c r="C211" s="148" t="s">
        <v>34</v>
      </c>
      <c r="D211" s="149" t="s">
        <v>225</v>
      </c>
      <c r="E211" s="150">
        <v>1308</v>
      </c>
      <c r="F211" s="150" t="s">
        <v>172</v>
      </c>
      <c r="G211" s="150" t="s">
        <v>169</v>
      </c>
      <c r="H211" s="150" t="s">
        <v>166</v>
      </c>
      <c r="I211" s="150" t="str">
        <f>Table1[[#This Row],[Wing]]&amp;-Table1[[#This Row],[Shop No / Office No. / Flat No.]]</f>
        <v>A-1308</v>
      </c>
      <c r="J211" s="151">
        <v>54.17</v>
      </c>
      <c r="K211" s="151">
        <f t="shared" si="5"/>
        <v>583.08587999999997</v>
      </c>
      <c r="L211" s="152">
        <f>Table1[[#This Row],[RERA Carpet Area (Sq. Ft.)]]*1.1</f>
        <v>641.39446800000007</v>
      </c>
      <c r="M211" s="153" t="s">
        <v>211</v>
      </c>
      <c r="N211" s="152" t="s">
        <v>265</v>
      </c>
      <c r="O211" s="267">
        <v>3033000</v>
      </c>
      <c r="P211" s="268">
        <v>3033000</v>
      </c>
      <c r="Q211" s="154">
        <f>Table1[[#This Row],[Agreement Value as per  Excel]]-Table1[[#This Row],[Amt Received as per Excel]]</f>
        <v>0</v>
      </c>
      <c r="R211" s="155">
        <f t="shared" si="6"/>
        <v>5201.635134776373</v>
      </c>
      <c r="S211" s="160"/>
      <c r="T211" s="161"/>
      <c r="U211" s="157"/>
    </row>
    <row r="212" spans="2:21" x14ac:dyDescent="0.3">
      <c r="B212" s="148">
        <v>185</v>
      </c>
      <c r="C212" s="148" t="s">
        <v>34</v>
      </c>
      <c r="D212" s="149" t="s">
        <v>225</v>
      </c>
      <c r="E212" s="150">
        <v>1309</v>
      </c>
      <c r="F212" s="150" t="s">
        <v>173</v>
      </c>
      <c r="G212" s="150" t="s">
        <v>169</v>
      </c>
      <c r="H212" s="150" t="s">
        <v>170</v>
      </c>
      <c r="I212" s="150" t="str">
        <f>Table1[[#This Row],[Wing]]&amp;-Table1[[#This Row],[Shop No / Office No. / Flat No.]]</f>
        <v>A-1309</v>
      </c>
      <c r="J212" s="151">
        <v>44.48</v>
      </c>
      <c r="K212" s="151">
        <f t="shared" si="5"/>
        <v>478.78271999999993</v>
      </c>
      <c r="L212" s="152">
        <f>Table1[[#This Row],[RERA Carpet Area (Sq. Ft.)]]*1.1</f>
        <v>526.66099199999996</v>
      </c>
      <c r="M212" s="153" t="s">
        <v>211</v>
      </c>
      <c r="N212" s="152" t="s">
        <v>265</v>
      </c>
      <c r="O212" s="267">
        <v>2374550</v>
      </c>
      <c r="P212" s="268">
        <v>712365</v>
      </c>
      <c r="Q212" s="154">
        <f>Table1[[#This Row],[Agreement Value as per  Excel]]-Table1[[#This Row],[Amt Received as per Excel]]</f>
        <v>1662185</v>
      </c>
      <c r="R212" s="155">
        <f t="shared" si="6"/>
        <v>4959.5566022098719</v>
      </c>
      <c r="S212" s="160"/>
      <c r="T212" s="161"/>
      <c r="U212" s="157"/>
    </row>
    <row r="213" spans="2:21" x14ac:dyDescent="0.3">
      <c r="B213" s="148">
        <v>186</v>
      </c>
      <c r="C213" s="148" t="s">
        <v>34</v>
      </c>
      <c r="D213" s="149" t="s">
        <v>225</v>
      </c>
      <c r="E213" s="150">
        <v>1310</v>
      </c>
      <c r="F213" s="150" t="s">
        <v>173</v>
      </c>
      <c r="G213" s="150" t="s">
        <v>169</v>
      </c>
      <c r="H213" s="150" t="s">
        <v>170</v>
      </c>
      <c r="I213" s="150" t="str">
        <f>Table1[[#This Row],[Wing]]&amp;-Table1[[#This Row],[Shop No / Office No. / Flat No.]]</f>
        <v>A-1310</v>
      </c>
      <c r="J213" s="151">
        <v>33.01</v>
      </c>
      <c r="K213" s="151">
        <f t="shared" si="5"/>
        <v>355.31963999999994</v>
      </c>
      <c r="L213" s="152">
        <f>Table1[[#This Row],[RERA Carpet Area (Sq. Ft.)]]*1.1</f>
        <v>390.85160399999995</v>
      </c>
      <c r="M213" s="153" t="s">
        <v>211</v>
      </c>
      <c r="N213" s="152" t="s">
        <v>266</v>
      </c>
      <c r="O213" s="152"/>
      <c r="P213" s="154"/>
      <c r="Q213" s="154">
        <f>Table1[[#This Row],[Agreement Value as per  Excel]]-Table1[[#This Row],[Amt Received as per Excel]]</f>
        <v>0</v>
      </c>
      <c r="R213" s="155">
        <f t="shared" si="6"/>
        <v>0</v>
      </c>
      <c r="S213" s="160"/>
      <c r="T213" s="161"/>
      <c r="U213" s="157"/>
    </row>
    <row r="214" spans="2:21" x14ac:dyDescent="0.3">
      <c r="B214" s="148">
        <v>187</v>
      </c>
      <c r="C214" s="148" t="s">
        <v>34</v>
      </c>
      <c r="D214" s="149" t="s">
        <v>226</v>
      </c>
      <c r="E214" s="150">
        <v>1401</v>
      </c>
      <c r="F214" s="150" t="s">
        <v>172</v>
      </c>
      <c r="G214" s="150" t="s">
        <v>169</v>
      </c>
      <c r="H214" s="150" t="s">
        <v>170</v>
      </c>
      <c r="I214" s="150" t="str">
        <f>Table1[[#This Row],[Wing]]&amp;-Table1[[#This Row],[Shop No / Office No. / Flat No.]]</f>
        <v>A-1401</v>
      </c>
      <c r="J214" s="151">
        <v>44.07</v>
      </c>
      <c r="K214" s="151">
        <f t="shared" si="5"/>
        <v>474.36947999999995</v>
      </c>
      <c r="L214" s="152">
        <f>Table1[[#This Row],[RERA Carpet Area (Sq. Ft.)]]*1.1</f>
        <v>521.80642799999998</v>
      </c>
      <c r="M214" s="150" t="s">
        <v>211</v>
      </c>
      <c r="N214" s="152" t="s">
        <v>266</v>
      </c>
      <c r="O214" s="152"/>
      <c r="P214" s="154"/>
      <c r="Q214" s="154">
        <f>Table1[[#This Row],[Agreement Value as per  Excel]]-Table1[[#This Row],[Amt Received as per Excel]]</f>
        <v>0</v>
      </c>
      <c r="R214" s="155">
        <f t="shared" si="6"/>
        <v>0</v>
      </c>
      <c r="S214" s="160"/>
      <c r="T214" s="161"/>
      <c r="U214" s="157"/>
    </row>
    <row r="215" spans="2:21" x14ac:dyDescent="0.3">
      <c r="B215" s="148">
        <v>188</v>
      </c>
      <c r="C215" s="148" t="s">
        <v>34</v>
      </c>
      <c r="D215" s="149" t="s">
        <v>226</v>
      </c>
      <c r="E215" s="150">
        <v>1402</v>
      </c>
      <c r="F215" s="150" t="s">
        <v>172</v>
      </c>
      <c r="G215" s="150" t="s">
        <v>169</v>
      </c>
      <c r="H215" s="150" t="s">
        <v>170</v>
      </c>
      <c r="I215" s="150" t="str">
        <f>Table1[[#This Row],[Wing]]&amp;-Table1[[#This Row],[Shop No / Office No. / Flat No.]]</f>
        <v>A-1402</v>
      </c>
      <c r="J215" s="151">
        <v>44.07</v>
      </c>
      <c r="K215" s="151">
        <f t="shared" si="5"/>
        <v>474.36947999999995</v>
      </c>
      <c r="L215" s="152">
        <f>Table1[[#This Row],[RERA Carpet Area (Sq. Ft.)]]*1.1</f>
        <v>521.80642799999998</v>
      </c>
      <c r="M215" s="150" t="s">
        <v>211</v>
      </c>
      <c r="N215" s="152" t="s">
        <v>266</v>
      </c>
      <c r="O215" s="152"/>
      <c r="P215" s="154"/>
      <c r="Q215" s="154">
        <f>Table1[[#This Row],[Agreement Value as per  Excel]]-Table1[[#This Row],[Amt Received as per Excel]]</f>
        <v>0</v>
      </c>
      <c r="R215" s="155">
        <f t="shared" si="6"/>
        <v>0</v>
      </c>
      <c r="S215" s="160"/>
      <c r="T215" s="161"/>
      <c r="U215" s="157"/>
    </row>
    <row r="216" spans="2:21" x14ac:dyDescent="0.3">
      <c r="B216" s="148">
        <v>189</v>
      </c>
      <c r="C216" s="148" t="s">
        <v>34</v>
      </c>
      <c r="D216" s="149" t="s">
        <v>226</v>
      </c>
      <c r="E216" s="150">
        <v>1403</v>
      </c>
      <c r="F216" s="150" t="s">
        <v>174</v>
      </c>
      <c r="G216" s="150" t="s">
        <v>169</v>
      </c>
      <c r="H216" s="150" t="s">
        <v>166</v>
      </c>
      <c r="I216" s="150" t="str">
        <f>Table1[[#This Row],[Wing]]&amp;-Table1[[#This Row],[Shop No / Office No. / Flat No.]]</f>
        <v>A-1403</v>
      </c>
      <c r="J216" s="151">
        <v>73.91</v>
      </c>
      <c r="K216" s="151">
        <f t="shared" si="5"/>
        <v>795.56723999999997</v>
      </c>
      <c r="L216" s="152">
        <f>Table1[[#This Row],[RERA Carpet Area (Sq. Ft.)]]*1.1</f>
        <v>875.123964</v>
      </c>
      <c r="M216" s="150" t="s">
        <v>211</v>
      </c>
      <c r="N216" s="152" t="s">
        <v>265</v>
      </c>
      <c r="O216" s="267">
        <f>338.57*20000</f>
        <v>6771400</v>
      </c>
      <c r="P216" s="268">
        <v>4473375</v>
      </c>
      <c r="Q216" s="154">
        <f>Table1[[#This Row],[Agreement Value as per  Excel]]-Table1[[#This Row],[Amt Received as per Excel]]</f>
        <v>2298025</v>
      </c>
      <c r="R216" s="155">
        <f t="shared" si="6"/>
        <v>8511.4113044674887</v>
      </c>
      <c r="S216" s="160"/>
      <c r="T216" s="161"/>
      <c r="U216" s="157"/>
    </row>
    <row r="217" spans="2:21" hidden="1" x14ac:dyDescent="0.3">
      <c r="B217" s="148">
        <v>190</v>
      </c>
      <c r="C217" s="148" t="s">
        <v>34</v>
      </c>
      <c r="D217" s="149" t="s">
        <v>226</v>
      </c>
      <c r="E217" s="150">
        <v>1404</v>
      </c>
      <c r="F217" s="150" t="s">
        <v>174</v>
      </c>
      <c r="G217" s="150" t="s">
        <v>169</v>
      </c>
      <c r="H217" s="150" t="s">
        <v>166</v>
      </c>
      <c r="I217" s="150" t="str">
        <f>Table1[[#This Row],[Wing]]&amp;-Table1[[#This Row],[Shop No / Office No. / Flat No.]]</f>
        <v>A-1404</v>
      </c>
      <c r="J217" s="159">
        <v>73.91</v>
      </c>
      <c r="K217" s="151">
        <f t="shared" si="5"/>
        <v>795.56723999999997</v>
      </c>
      <c r="L217" s="152">
        <f>Table1[[#This Row],[RERA Carpet Area (Sq. Ft.)]]*1.1</f>
        <v>875.123964</v>
      </c>
      <c r="M217" s="150" t="s">
        <v>168</v>
      </c>
      <c r="N217" s="152" t="s">
        <v>168</v>
      </c>
      <c r="O217" s="152">
        <v>15025500</v>
      </c>
      <c r="P217" s="154">
        <v>8865045</v>
      </c>
      <c r="Q217" s="154">
        <f>Table1[[#This Row],[Agreement Value as per  Excel]]-Table1[[#This Row],[Amt Received as per Excel]]</f>
        <v>6160455</v>
      </c>
      <c r="R217" s="155">
        <f t="shared" si="6"/>
        <v>18886.524286746651</v>
      </c>
      <c r="S217" s="160"/>
      <c r="T217" s="161"/>
      <c r="U217" s="157"/>
    </row>
    <row r="218" spans="2:21" x14ac:dyDescent="0.3">
      <c r="B218" s="148">
        <v>191</v>
      </c>
      <c r="C218" s="148" t="s">
        <v>34</v>
      </c>
      <c r="D218" s="149" t="s">
        <v>226</v>
      </c>
      <c r="E218" s="150">
        <v>1405</v>
      </c>
      <c r="F218" s="150" t="s">
        <v>172</v>
      </c>
      <c r="G218" s="150" t="s">
        <v>169</v>
      </c>
      <c r="H218" s="150" t="s">
        <v>170</v>
      </c>
      <c r="I218" s="150" t="str">
        <f>Table1[[#This Row],[Wing]]&amp;-Table1[[#This Row],[Shop No / Office No. / Flat No.]]</f>
        <v>A-1405</v>
      </c>
      <c r="J218" s="151">
        <v>44.07</v>
      </c>
      <c r="K218" s="151">
        <f t="shared" si="5"/>
        <v>474.36947999999995</v>
      </c>
      <c r="L218" s="152">
        <f>Table1[[#This Row],[RERA Carpet Area (Sq. Ft.)]]*1.1</f>
        <v>521.80642799999998</v>
      </c>
      <c r="M218" s="153" t="s">
        <v>211</v>
      </c>
      <c r="N218" s="152" t="s">
        <v>266</v>
      </c>
      <c r="O218" s="152"/>
      <c r="P218" s="154"/>
      <c r="Q218" s="154">
        <f>Table1[[#This Row],[Agreement Value as per  Excel]]-Table1[[#This Row],[Amt Received as per Excel]]</f>
        <v>0</v>
      </c>
      <c r="R218" s="155">
        <f t="shared" si="6"/>
        <v>0</v>
      </c>
      <c r="S218" s="160"/>
      <c r="T218" s="161"/>
      <c r="U218" s="157"/>
    </row>
    <row r="219" spans="2:21" x14ac:dyDescent="0.3">
      <c r="B219" s="148">
        <v>192</v>
      </c>
      <c r="C219" s="148" t="s">
        <v>34</v>
      </c>
      <c r="D219" s="149" t="s">
        <v>226</v>
      </c>
      <c r="E219" s="150">
        <v>1406</v>
      </c>
      <c r="F219" s="150" t="s">
        <v>172</v>
      </c>
      <c r="G219" s="150" t="s">
        <v>169</v>
      </c>
      <c r="H219" s="150" t="s">
        <v>170</v>
      </c>
      <c r="I219" s="150" t="str">
        <f>Table1[[#This Row],[Wing]]&amp;-Table1[[#This Row],[Shop No / Office No. / Flat No.]]</f>
        <v>A-1406</v>
      </c>
      <c r="J219" s="151">
        <v>44.13</v>
      </c>
      <c r="K219" s="151">
        <f t="shared" si="5"/>
        <v>475.01531999999997</v>
      </c>
      <c r="L219" s="152">
        <f>Table1[[#This Row],[RERA Carpet Area (Sq. Ft.)]]*1.1</f>
        <v>522.51685199999997</v>
      </c>
      <c r="M219" s="153" t="s">
        <v>211</v>
      </c>
      <c r="N219" s="152" t="s">
        <v>266</v>
      </c>
      <c r="O219" s="152"/>
      <c r="P219" s="154"/>
      <c r="Q219" s="154">
        <f>Table1[[#This Row],[Agreement Value as per  Excel]]-Table1[[#This Row],[Amt Received as per Excel]]</f>
        <v>0</v>
      </c>
      <c r="R219" s="155">
        <f t="shared" si="6"/>
        <v>0</v>
      </c>
      <c r="S219" s="160"/>
      <c r="T219" s="161"/>
      <c r="U219" s="157"/>
    </row>
    <row r="220" spans="2:21" x14ac:dyDescent="0.3">
      <c r="B220" s="148">
        <v>193</v>
      </c>
      <c r="C220" s="148" t="s">
        <v>34</v>
      </c>
      <c r="D220" s="149" t="s">
        <v>226</v>
      </c>
      <c r="E220" s="150">
        <v>1407</v>
      </c>
      <c r="F220" s="150" t="s">
        <v>173</v>
      </c>
      <c r="G220" s="150" t="s">
        <v>169</v>
      </c>
      <c r="H220" s="150" t="s">
        <v>170</v>
      </c>
      <c r="I220" s="150" t="str">
        <f>Table1[[#This Row],[Wing]]&amp;-Table1[[#This Row],[Shop No / Office No. / Flat No.]]</f>
        <v>A-1407</v>
      </c>
      <c r="J220" s="151">
        <v>33.01</v>
      </c>
      <c r="K220" s="151">
        <f t="shared" si="5"/>
        <v>355.31963999999994</v>
      </c>
      <c r="L220" s="152">
        <f>Table1[[#This Row],[RERA Carpet Area (Sq. Ft.)]]*1.1</f>
        <v>390.85160399999995</v>
      </c>
      <c r="M220" s="153" t="s">
        <v>211</v>
      </c>
      <c r="N220" s="152" t="s">
        <v>266</v>
      </c>
      <c r="O220" s="152"/>
      <c r="P220" s="154"/>
      <c r="Q220" s="154">
        <f>Table1[[#This Row],[Agreement Value as per  Excel]]-Table1[[#This Row],[Amt Received as per Excel]]</f>
        <v>0</v>
      </c>
      <c r="R220" s="155">
        <f t="shared" si="6"/>
        <v>0</v>
      </c>
      <c r="S220" s="160"/>
      <c r="T220" s="161"/>
      <c r="U220" s="157"/>
    </row>
    <row r="221" spans="2:21" ht="66" hidden="1" x14ac:dyDescent="0.3">
      <c r="B221" s="167">
        <v>194</v>
      </c>
      <c r="C221" s="167" t="s">
        <v>34</v>
      </c>
      <c r="D221" s="169" t="s">
        <v>226</v>
      </c>
      <c r="E221" s="168">
        <v>1408</v>
      </c>
      <c r="F221" s="168" t="s">
        <v>172</v>
      </c>
      <c r="G221" s="168" t="s">
        <v>169</v>
      </c>
      <c r="H221" s="168" t="s">
        <v>166</v>
      </c>
      <c r="I221" s="168" t="str">
        <f>Table1[[#This Row],[Wing]]&amp;-Table1[[#This Row],[Shop No / Office No. / Flat No.]]</f>
        <v>A-1408</v>
      </c>
      <c r="J221" s="159">
        <v>54.17</v>
      </c>
      <c r="K221" s="159">
        <f t="shared" si="5"/>
        <v>583.08587999999997</v>
      </c>
      <c r="L221" s="170">
        <f>Table1[[#This Row],[RERA Carpet Area (Sq. Ft.)]]*1.1</f>
        <v>641.39446800000007</v>
      </c>
      <c r="M221" s="171" t="s">
        <v>211</v>
      </c>
      <c r="N221" s="170" t="s">
        <v>167</v>
      </c>
      <c r="O221" s="170"/>
      <c r="P221" s="172"/>
      <c r="Q221" s="154">
        <f>Table1[[#This Row],[Agreement Value as per  Excel]]-Table1[[#This Row],[Amt Received as per Excel]]</f>
        <v>0</v>
      </c>
      <c r="R221" s="155">
        <f t="shared" si="6"/>
        <v>0</v>
      </c>
      <c r="S221" s="160" t="s">
        <v>255</v>
      </c>
      <c r="T221" s="161"/>
      <c r="U221" s="157"/>
    </row>
    <row r="222" spans="2:21" x14ac:dyDescent="0.3">
      <c r="B222" s="148">
        <v>195</v>
      </c>
      <c r="C222" s="148" t="s">
        <v>34</v>
      </c>
      <c r="D222" s="149" t="s">
        <v>226</v>
      </c>
      <c r="E222" s="150">
        <v>1409</v>
      </c>
      <c r="F222" s="150" t="s">
        <v>173</v>
      </c>
      <c r="G222" s="150" t="s">
        <v>169</v>
      </c>
      <c r="H222" s="150" t="s">
        <v>170</v>
      </c>
      <c r="I222" s="150" t="str">
        <f>Table1[[#This Row],[Wing]]&amp;-Table1[[#This Row],[Shop No / Office No. / Flat No.]]</f>
        <v>A-1409</v>
      </c>
      <c r="J222" s="151">
        <v>44.48</v>
      </c>
      <c r="K222" s="151">
        <f t="shared" si="5"/>
        <v>478.78271999999993</v>
      </c>
      <c r="L222" s="152">
        <f>Table1[[#This Row],[RERA Carpet Area (Sq. Ft.)]]*1.1</f>
        <v>526.66099199999996</v>
      </c>
      <c r="M222" s="153" t="s">
        <v>211</v>
      </c>
      <c r="N222" s="152" t="s">
        <v>266</v>
      </c>
      <c r="O222" s="152"/>
      <c r="P222" s="154"/>
      <c r="Q222" s="154">
        <f>Table1[[#This Row],[Agreement Value as per  Excel]]-Table1[[#This Row],[Amt Received as per Excel]]</f>
        <v>0</v>
      </c>
      <c r="R222" s="155">
        <f t="shared" si="6"/>
        <v>0</v>
      </c>
      <c r="S222" s="160"/>
      <c r="T222" s="161"/>
      <c r="U222" s="157"/>
    </row>
    <row r="223" spans="2:21" x14ac:dyDescent="0.3">
      <c r="B223" s="148">
        <v>196</v>
      </c>
      <c r="C223" s="148" t="s">
        <v>34</v>
      </c>
      <c r="D223" s="149" t="s">
        <v>226</v>
      </c>
      <c r="E223" s="150">
        <v>1410</v>
      </c>
      <c r="F223" s="150" t="s">
        <v>173</v>
      </c>
      <c r="G223" s="150" t="s">
        <v>169</v>
      </c>
      <c r="H223" s="150" t="s">
        <v>170</v>
      </c>
      <c r="I223" s="150" t="str">
        <f>Table1[[#This Row],[Wing]]&amp;-Table1[[#This Row],[Shop No / Office No. / Flat No.]]</f>
        <v>A-1410</v>
      </c>
      <c r="J223" s="151">
        <v>33.01</v>
      </c>
      <c r="K223" s="151">
        <f t="shared" si="5"/>
        <v>355.31963999999994</v>
      </c>
      <c r="L223" s="152">
        <f>Table1[[#This Row],[RERA Carpet Area (Sq. Ft.)]]*1.1</f>
        <v>390.85160399999995</v>
      </c>
      <c r="M223" s="153" t="s">
        <v>211</v>
      </c>
      <c r="N223" s="152" t="s">
        <v>266</v>
      </c>
      <c r="O223" s="152"/>
      <c r="P223" s="154"/>
      <c r="Q223" s="154">
        <f>Table1[[#This Row],[Agreement Value as per  Excel]]-Table1[[#This Row],[Amt Received as per Excel]]</f>
        <v>0</v>
      </c>
      <c r="R223" s="155">
        <f t="shared" si="6"/>
        <v>0</v>
      </c>
      <c r="S223" s="160"/>
      <c r="T223" s="161"/>
      <c r="U223" s="157"/>
    </row>
    <row r="224" spans="2:21" x14ac:dyDescent="0.3">
      <c r="B224" s="148">
        <v>197</v>
      </c>
      <c r="C224" s="148" t="s">
        <v>34</v>
      </c>
      <c r="D224" s="149" t="s">
        <v>227</v>
      </c>
      <c r="E224" s="150">
        <v>1501</v>
      </c>
      <c r="F224" s="150" t="s">
        <v>172</v>
      </c>
      <c r="G224" s="150" t="s">
        <v>169</v>
      </c>
      <c r="H224" s="150" t="s">
        <v>170</v>
      </c>
      <c r="I224" s="150" t="str">
        <f>Table1[[#This Row],[Wing]]&amp;-Table1[[#This Row],[Shop No / Office No. / Flat No.]]</f>
        <v>A-1501</v>
      </c>
      <c r="J224" s="151">
        <v>44.07</v>
      </c>
      <c r="K224" s="151">
        <f t="shared" ref="K224:K287" si="7">IFERROR(J224*10.764,0)</f>
        <v>474.36947999999995</v>
      </c>
      <c r="L224" s="152">
        <f>Table1[[#This Row],[RERA Carpet Area (Sq. Ft.)]]*1.1</f>
        <v>521.80642799999998</v>
      </c>
      <c r="M224" s="153" t="s">
        <v>211</v>
      </c>
      <c r="N224" s="152" t="s">
        <v>266</v>
      </c>
      <c r="O224" s="152"/>
      <c r="P224" s="154"/>
      <c r="Q224" s="154">
        <f>Table1[[#This Row],[Agreement Value as per  Excel]]-Table1[[#This Row],[Amt Received as per Excel]]</f>
        <v>0</v>
      </c>
      <c r="R224" s="155">
        <f t="shared" si="6"/>
        <v>0</v>
      </c>
      <c r="S224" s="160"/>
      <c r="T224" s="161"/>
      <c r="U224" s="157"/>
    </row>
    <row r="225" spans="2:21" x14ac:dyDescent="0.3">
      <c r="B225" s="148">
        <v>198</v>
      </c>
      <c r="C225" s="148" t="s">
        <v>34</v>
      </c>
      <c r="D225" s="149" t="s">
        <v>227</v>
      </c>
      <c r="E225" s="150">
        <v>1502</v>
      </c>
      <c r="F225" s="150" t="s">
        <v>172</v>
      </c>
      <c r="G225" s="150" t="s">
        <v>169</v>
      </c>
      <c r="H225" s="150" t="s">
        <v>170</v>
      </c>
      <c r="I225" s="150" t="str">
        <f>Table1[[#This Row],[Wing]]&amp;-Table1[[#This Row],[Shop No / Office No. / Flat No.]]</f>
        <v>A-1502</v>
      </c>
      <c r="J225" s="151">
        <v>44.07</v>
      </c>
      <c r="K225" s="151">
        <f t="shared" si="7"/>
        <v>474.36947999999995</v>
      </c>
      <c r="L225" s="152">
        <f>Table1[[#This Row],[RERA Carpet Area (Sq. Ft.)]]*1.1</f>
        <v>521.80642799999998</v>
      </c>
      <c r="M225" s="153" t="s">
        <v>211</v>
      </c>
      <c r="N225" s="152" t="s">
        <v>266</v>
      </c>
      <c r="O225" s="152"/>
      <c r="P225" s="154"/>
      <c r="Q225" s="154">
        <f>Table1[[#This Row],[Agreement Value as per  Excel]]-Table1[[#This Row],[Amt Received as per Excel]]</f>
        <v>0</v>
      </c>
      <c r="R225" s="155">
        <f t="shared" si="6"/>
        <v>0</v>
      </c>
      <c r="S225" s="160"/>
      <c r="T225" s="161"/>
      <c r="U225" s="157"/>
    </row>
    <row r="226" spans="2:21" hidden="1" x14ac:dyDescent="0.3">
      <c r="B226" s="148">
        <v>199</v>
      </c>
      <c r="C226" s="148" t="s">
        <v>34</v>
      </c>
      <c r="D226" s="149" t="s">
        <v>227</v>
      </c>
      <c r="E226" s="150">
        <v>1503</v>
      </c>
      <c r="F226" s="150" t="s">
        <v>171</v>
      </c>
      <c r="G226" s="150" t="s">
        <v>171</v>
      </c>
      <c r="H226" s="150" t="s">
        <v>171</v>
      </c>
      <c r="I226" s="150" t="str">
        <f>Table1[[#This Row],[Wing]]&amp;-Table1[[#This Row],[Shop No / Office No. / Flat No.]]</f>
        <v>A-1503</v>
      </c>
      <c r="J226" s="151">
        <v>0</v>
      </c>
      <c r="K226" s="151">
        <f t="shared" si="7"/>
        <v>0</v>
      </c>
      <c r="L226" s="152">
        <f>Table1[[#This Row],[RERA Carpet Area (Sq. Ft.)]]*1.1</f>
        <v>0</v>
      </c>
      <c r="M226" s="150" t="s">
        <v>171</v>
      </c>
      <c r="N226" s="152" t="s">
        <v>264</v>
      </c>
      <c r="O226" s="152"/>
      <c r="P226" s="154"/>
      <c r="Q226" s="154">
        <f>Table1[[#This Row],[Agreement Value as per  Excel]]-Table1[[#This Row],[Amt Received as per Excel]]</f>
        <v>0</v>
      </c>
      <c r="R226" s="155">
        <f t="shared" si="6"/>
        <v>0</v>
      </c>
      <c r="S226" s="160"/>
      <c r="T226" s="161"/>
      <c r="U226" s="157"/>
    </row>
    <row r="227" spans="2:21" s="162" customFormat="1" hidden="1" x14ac:dyDescent="0.3">
      <c r="B227" s="148">
        <v>200</v>
      </c>
      <c r="C227" s="148" t="s">
        <v>34</v>
      </c>
      <c r="D227" s="149" t="s">
        <v>227</v>
      </c>
      <c r="E227" s="150">
        <v>1504</v>
      </c>
      <c r="F227" s="150" t="s">
        <v>171</v>
      </c>
      <c r="G227" s="150" t="s">
        <v>171</v>
      </c>
      <c r="H227" s="150" t="s">
        <v>171</v>
      </c>
      <c r="I227" s="150" t="str">
        <f>Table1[[#This Row],[Wing]]&amp;-Table1[[#This Row],[Shop No / Office No. / Flat No.]]</f>
        <v>A-1504</v>
      </c>
      <c r="J227" s="151">
        <v>0</v>
      </c>
      <c r="K227" s="151">
        <f t="shared" si="7"/>
        <v>0</v>
      </c>
      <c r="L227" s="152">
        <f>Table1[[#This Row],[RERA Carpet Area (Sq. Ft.)]]*1.1</f>
        <v>0</v>
      </c>
      <c r="M227" s="150" t="s">
        <v>171</v>
      </c>
      <c r="N227" s="152" t="s">
        <v>264</v>
      </c>
      <c r="O227" s="152"/>
      <c r="P227" s="154"/>
      <c r="Q227" s="154">
        <f>Table1[[#This Row],[Agreement Value as per  Excel]]-Table1[[#This Row],[Amt Received as per Excel]]</f>
        <v>0</v>
      </c>
      <c r="R227" s="155">
        <f t="shared" si="6"/>
        <v>0</v>
      </c>
      <c r="S227" s="160"/>
      <c r="T227" s="161"/>
      <c r="U227" s="157"/>
    </row>
    <row r="228" spans="2:21" x14ac:dyDescent="0.3">
      <c r="B228" s="163">
        <v>201</v>
      </c>
      <c r="C228" s="148" t="s">
        <v>34</v>
      </c>
      <c r="D228" s="149" t="s">
        <v>227</v>
      </c>
      <c r="E228" s="150">
        <v>1505</v>
      </c>
      <c r="F228" s="150" t="s">
        <v>172</v>
      </c>
      <c r="G228" s="150" t="s">
        <v>169</v>
      </c>
      <c r="H228" s="150" t="s">
        <v>170</v>
      </c>
      <c r="I228" s="150" t="str">
        <f>Table1[[#This Row],[Wing]]&amp;-Table1[[#This Row],[Shop No / Office No. / Flat No.]]</f>
        <v>A-1505</v>
      </c>
      <c r="J228" s="151">
        <v>44.07</v>
      </c>
      <c r="K228" s="151">
        <f t="shared" si="7"/>
        <v>474.36947999999995</v>
      </c>
      <c r="L228" s="152">
        <f>Table1[[#This Row],[RERA Carpet Area (Sq. Ft.)]]*1.1</f>
        <v>521.80642799999998</v>
      </c>
      <c r="M228" s="153" t="s">
        <v>211</v>
      </c>
      <c r="N228" s="164" t="s">
        <v>266</v>
      </c>
      <c r="O228" s="164"/>
      <c r="P228" s="154"/>
      <c r="Q228" s="154">
        <f>Table1[[#This Row],[Agreement Value as per  Excel]]-Table1[[#This Row],[Amt Received as per Excel]]</f>
        <v>0</v>
      </c>
      <c r="R228" s="155">
        <f t="shared" si="6"/>
        <v>0</v>
      </c>
      <c r="S228" s="165"/>
      <c r="T228" s="166"/>
      <c r="U228" s="157"/>
    </row>
    <row r="229" spans="2:21" x14ac:dyDescent="0.3">
      <c r="B229" s="148">
        <v>202</v>
      </c>
      <c r="C229" s="148" t="s">
        <v>34</v>
      </c>
      <c r="D229" s="149" t="s">
        <v>227</v>
      </c>
      <c r="E229" s="150">
        <v>1506</v>
      </c>
      <c r="F229" s="150" t="s">
        <v>172</v>
      </c>
      <c r="G229" s="150" t="s">
        <v>169</v>
      </c>
      <c r="H229" s="150" t="s">
        <v>170</v>
      </c>
      <c r="I229" s="150" t="str">
        <f>Table1[[#This Row],[Wing]]&amp;-Table1[[#This Row],[Shop No / Office No. / Flat No.]]</f>
        <v>A-1506</v>
      </c>
      <c r="J229" s="151">
        <v>44.13</v>
      </c>
      <c r="K229" s="151">
        <f t="shared" si="7"/>
        <v>475.01531999999997</v>
      </c>
      <c r="L229" s="152">
        <f>Table1[[#This Row],[RERA Carpet Area (Sq. Ft.)]]*1.1</f>
        <v>522.51685199999997</v>
      </c>
      <c r="M229" s="153" t="s">
        <v>211</v>
      </c>
      <c r="N229" s="152" t="s">
        <v>266</v>
      </c>
      <c r="O229" s="152"/>
      <c r="P229" s="154"/>
      <c r="Q229" s="154">
        <f>Table1[[#This Row],[Agreement Value as per  Excel]]-Table1[[#This Row],[Amt Received as per Excel]]</f>
        <v>0</v>
      </c>
      <c r="R229" s="155">
        <f t="shared" si="6"/>
        <v>0</v>
      </c>
      <c r="S229" s="160"/>
      <c r="T229" s="161"/>
      <c r="U229" s="157"/>
    </row>
    <row r="230" spans="2:21" x14ac:dyDescent="0.3">
      <c r="B230" s="148">
        <v>203</v>
      </c>
      <c r="C230" s="150" t="s">
        <v>34</v>
      </c>
      <c r="D230" s="149" t="s">
        <v>227</v>
      </c>
      <c r="E230" s="150">
        <v>1507</v>
      </c>
      <c r="F230" s="150" t="s">
        <v>173</v>
      </c>
      <c r="G230" s="150" t="s">
        <v>169</v>
      </c>
      <c r="H230" s="150" t="s">
        <v>170</v>
      </c>
      <c r="I230" s="150" t="str">
        <f>Table1[[#This Row],[Wing]]&amp;-Table1[[#This Row],[Shop No / Office No. / Flat No.]]</f>
        <v>A-1507</v>
      </c>
      <c r="J230" s="151">
        <v>33.01</v>
      </c>
      <c r="K230" s="151">
        <f t="shared" si="7"/>
        <v>355.31963999999994</v>
      </c>
      <c r="L230" s="152">
        <f>Table1[[#This Row],[RERA Carpet Area (Sq. Ft.)]]*1.1</f>
        <v>390.85160399999995</v>
      </c>
      <c r="M230" s="153" t="s">
        <v>211</v>
      </c>
      <c r="N230" s="152" t="s">
        <v>266</v>
      </c>
      <c r="O230" s="152"/>
      <c r="P230" s="154"/>
      <c r="Q230" s="154">
        <f>Table1[[#This Row],[Agreement Value as per  Excel]]-Table1[[#This Row],[Amt Received as per Excel]]</f>
        <v>0</v>
      </c>
      <c r="R230" s="155">
        <f t="shared" si="6"/>
        <v>0</v>
      </c>
      <c r="S230" s="160"/>
      <c r="T230" s="161"/>
      <c r="U230" s="157"/>
    </row>
    <row r="231" spans="2:21" x14ac:dyDescent="0.3">
      <c r="B231" s="148">
        <v>204</v>
      </c>
      <c r="C231" s="150" t="s">
        <v>34</v>
      </c>
      <c r="D231" s="149" t="s">
        <v>227</v>
      </c>
      <c r="E231" s="150">
        <v>1508</v>
      </c>
      <c r="F231" s="150" t="s">
        <v>172</v>
      </c>
      <c r="G231" s="150" t="s">
        <v>169</v>
      </c>
      <c r="H231" s="150" t="s">
        <v>166</v>
      </c>
      <c r="I231" s="150" t="str">
        <f>Table1[[#This Row],[Wing]]&amp;-Table1[[#This Row],[Shop No / Office No. / Flat No.]]</f>
        <v>A-1508</v>
      </c>
      <c r="J231" s="151">
        <v>54.17</v>
      </c>
      <c r="K231" s="151">
        <f t="shared" si="7"/>
        <v>583.08587999999997</v>
      </c>
      <c r="L231" s="152">
        <f>Table1[[#This Row],[RERA Carpet Area (Sq. Ft.)]]*1.1</f>
        <v>641.39446800000007</v>
      </c>
      <c r="M231" s="153" t="s">
        <v>211</v>
      </c>
      <c r="N231" s="152" t="s">
        <v>265</v>
      </c>
      <c r="O231" s="267">
        <f>126.09*20000</f>
        <v>2521800</v>
      </c>
      <c r="P231" s="268">
        <v>627150</v>
      </c>
      <c r="Q231" s="154">
        <f>Table1[[#This Row],[Agreement Value as per  Excel]]-Table1[[#This Row],[Amt Received as per Excel]]</f>
        <v>1894650</v>
      </c>
      <c r="R231" s="155">
        <f t="shared" si="6"/>
        <v>4324.9203702205923</v>
      </c>
      <c r="S231" s="160"/>
      <c r="T231" s="161"/>
      <c r="U231" s="157"/>
    </row>
    <row r="232" spans="2:21" x14ac:dyDescent="0.3">
      <c r="B232" s="148">
        <v>205</v>
      </c>
      <c r="C232" s="148" t="s">
        <v>34</v>
      </c>
      <c r="D232" s="149" t="s">
        <v>227</v>
      </c>
      <c r="E232" s="150">
        <v>1509</v>
      </c>
      <c r="F232" s="150" t="s">
        <v>172</v>
      </c>
      <c r="G232" s="150" t="s">
        <v>169</v>
      </c>
      <c r="H232" s="150" t="s">
        <v>170</v>
      </c>
      <c r="I232" s="150" t="str">
        <f>Table1[[#This Row],[Wing]]&amp;-Table1[[#This Row],[Shop No / Office No. / Flat No.]]</f>
        <v>A-1509</v>
      </c>
      <c r="J232" s="151">
        <v>44.48</v>
      </c>
      <c r="K232" s="151">
        <f t="shared" si="7"/>
        <v>478.78271999999993</v>
      </c>
      <c r="L232" s="152">
        <f>Table1[[#This Row],[RERA Carpet Area (Sq. Ft.)]]*1.1</f>
        <v>526.66099199999996</v>
      </c>
      <c r="M232" s="153" t="s">
        <v>211</v>
      </c>
      <c r="N232" s="152" t="s">
        <v>266</v>
      </c>
      <c r="O232" s="152"/>
      <c r="P232" s="154"/>
      <c r="Q232" s="154">
        <f>Table1[[#This Row],[Agreement Value as per  Excel]]-Table1[[#This Row],[Amt Received as per Excel]]</f>
        <v>0</v>
      </c>
      <c r="R232" s="155">
        <f t="shared" si="6"/>
        <v>0</v>
      </c>
      <c r="S232" s="160"/>
      <c r="T232" s="161"/>
      <c r="U232" s="157"/>
    </row>
    <row r="233" spans="2:21" x14ac:dyDescent="0.3">
      <c r="B233" s="148">
        <v>206</v>
      </c>
      <c r="C233" s="148" t="s">
        <v>34</v>
      </c>
      <c r="D233" s="149" t="s">
        <v>227</v>
      </c>
      <c r="E233" s="150">
        <v>1510</v>
      </c>
      <c r="F233" s="150" t="s">
        <v>173</v>
      </c>
      <c r="G233" s="150" t="s">
        <v>169</v>
      </c>
      <c r="H233" s="150" t="s">
        <v>170</v>
      </c>
      <c r="I233" s="150" t="str">
        <f>Table1[[#This Row],[Wing]]&amp;-Table1[[#This Row],[Shop No / Office No. / Flat No.]]</f>
        <v>A-1510</v>
      </c>
      <c r="J233" s="151">
        <v>33.01</v>
      </c>
      <c r="K233" s="151">
        <f t="shared" si="7"/>
        <v>355.31963999999994</v>
      </c>
      <c r="L233" s="152">
        <f>Table1[[#This Row],[RERA Carpet Area (Sq. Ft.)]]*1.1</f>
        <v>390.85160399999995</v>
      </c>
      <c r="M233" s="153" t="s">
        <v>211</v>
      </c>
      <c r="N233" s="152" t="s">
        <v>266</v>
      </c>
      <c r="O233" s="152"/>
      <c r="P233" s="154"/>
      <c r="Q233" s="154">
        <f>Table1[[#This Row],[Agreement Value as per  Excel]]-Table1[[#This Row],[Amt Received as per Excel]]</f>
        <v>0</v>
      </c>
      <c r="R233" s="155">
        <f t="shared" si="6"/>
        <v>0</v>
      </c>
      <c r="S233" s="160"/>
      <c r="T233" s="161"/>
      <c r="U233" s="157"/>
    </row>
    <row r="234" spans="2:21" x14ac:dyDescent="0.3">
      <c r="B234" s="148">
        <v>207</v>
      </c>
      <c r="C234" s="148" t="s">
        <v>34</v>
      </c>
      <c r="D234" s="149" t="s">
        <v>228</v>
      </c>
      <c r="E234" s="150">
        <v>1601</v>
      </c>
      <c r="F234" s="150" t="s">
        <v>172</v>
      </c>
      <c r="G234" s="150" t="s">
        <v>169</v>
      </c>
      <c r="H234" s="150" t="s">
        <v>170</v>
      </c>
      <c r="I234" s="150" t="str">
        <f>Table1[[#This Row],[Wing]]&amp;-Table1[[#This Row],[Shop No / Office No. / Flat No.]]</f>
        <v>A-1601</v>
      </c>
      <c r="J234" s="151">
        <v>44.07</v>
      </c>
      <c r="K234" s="151">
        <f t="shared" si="7"/>
        <v>474.36947999999995</v>
      </c>
      <c r="L234" s="152">
        <f>Table1[[#This Row],[RERA Carpet Area (Sq. Ft.)]]*1.1</f>
        <v>521.80642799999998</v>
      </c>
      <c r="M234" s="150" t="s">
        <v>211</v>
      </c>
      <c r="N234" s="152" t="s">
        <v>266</v>
      </c>
      <c r="O234" s="152"/>
      <c r="P234" s="154"/>
      <c r="Q234" s="154">
        <f>Table1[[#This Row],[Agreement Value as per  Excel]]-Table1[[#This Row],[Amt Received as per Excel]]</f>
        <v>0</v>
      </c>
      <c r="R234" s="155">
        <f t="shared" si="6"/>
        <v>0</v>
      </c>
      <c r="S234" s="160"/>
      <c r="T234" s="161"/>
      <c r="U234" s="157"/>
    </row>
    <row r="235" spans="2:21" x14ac:dyDescent="0.3">
      <c r="B235" s="148">
        <v>208</v>
      </c>
      <c r="C235" s="148" t="s">
        <v>34</v>
      </c>
      <c r="D235" s="149" t="s">
        <v>228</v>
      </c>
      <c r="E235" s="150">
        <v>1602</v>
      </c>
      <c r="F235" s="150" t="s">
        <v>172</v>
      </c>
      <c r="G235" s="150" t="s">
        <v>169</v>
      </c>
      <c r="H235" s="150" t="s">
        <v>170</v>
      </c>
      <c r="I235" s="150" t="str">
        <f>Table1[[#This Row],[Wing]]&amp;-Table1[[#This Row],[Shop No / Office No. / Flat No.]]</f>
        <v>A-1602</v>
      </c>
      <c r="J235" s="151">
        <v>44.07</v>
      </c>
      <c r="K235" s="151">
        <f t="shared" si="7"/>
        <v>474.36947999999995</v>
      </c>
      <c r="L235" s="152">
        <f>Table1[[#This Row],[RERA Carpet Area (Sq. Ft.)]]*1.1</f>
        <v>521.80642799999998</v>
      </c>
      <c r="M235" s="150" t="s">
        <v>211</v>
      </c>
      <c r="N235" s="152" t="s">
        <v>266</v>
      </c>
      <c r="O235" s="152"/>
      <c r="P235" s="154"/>
      <c r="Q235" s="154">
        <f>Table1[[#This Row],[Agreement Value as per  Excel]]-Table1[[#This Row],[Amt Received as per Excel]]</f>
        <v>0</v>
      </c>
      <c r="R235" s="155">
        <f t="shared" si="6"/>
        <v>0</v>
      </c>
      <c r="S235" s="160"/>
      <c r="T235" s="161"/>
      <c r="U235" s="157"/>
    </row>
    <row r="236" spans="2:21" hidden="1" x14ac:dyDescent="0.3">
      <c r="B236" s="148">
        <v>209</v>
      </c>
      <c r="C236" s="148" t="s">
        <v>34</v>
      </c>
      <c r="D236" s="149" t="s">
        <v>228</v>
      </c>
      <c r="E236" s="150">
        <v>1603</v>
      </c>
      <c r="F236" s="150" t="s">
        <v>174</v>
      </c>
      <c r="G236" s="150" t="s">
        <v>169</v>
      </c>
      <c r="H236" s="150" t="s">
        <v>166</v>
      </c>
      <c r="I236" s="150" t="str">
        <f>Table1[[#This Row],[Wing]]&amp;-Table1[[#This Row],[Shop No / Office No. / Flat No.]]</f>
        <v>A-1603</v>
      </c>
      <c r="J236" s="159">
        <v>73.91</v>
      </c>
      <c r="K236" s="151">
        <f t="shared" si="7"/>
        <v>795.56723999999997</v>
      </c>
      <c r="L236" s="152">
        <f>Table1[[#This Row],[RERA Carpet Area (Sq. Ft.)]]*1.1</f>
        <v>875.123964</v>
      </c>
      <c r="M236" s="150" t="s">
        <v>168</v>
      </c>
      <c r="N236" s="152" t="s">
        <v>168</v>
      </c>
      <c r="O236" s="152">
        <v>17485000</v>
      </c>
      <c r="P236" s="154">
        <v>2363972</v>
      </c>
      <c r="Q236" s="154">
        <f>Table1[[#This Row],[Agreement Value as per  Excel]]-Table1[[#This Row],[Amt Received as per Excel]]</f>
        <v>15121028</v>
      </c>
      <c r="R236" s="155">
        <f t="shared" si="6"/>
        <v>21978.029160677859</v>
      </c>
      <c r="S236" s="160"/>
      <c r="T236" s="161"/>
      <c r="U236" s="157"/>
    </row>
    <row r="237" spans="2:21" s="162" customFormat="1" hidden="1" x14ac:dyDescent="0.3">
      <c r="B237" s="148">
        <v>210</v>
      </c>
      <c r="C237" s="148" t="s">
        <v>34</v>
      </c>
      <c r="D237" s="149" t="s">
        <v>228</v>
      </c>
      <c r="E237" s="150">
        <v>1604</v>
      </c>
      <c r="F237" s="150" t="s">
        <v>174</v>
      </c>
      <c r="G237" s="150" t="s">
        <v>169</v>
      </c>
      <c r="H237" s="150" t="s">
        <v>166</v>
      </c>
      <c r="I237" s="150" t="str">
        <f>Table1[[#This Row],[Wing]]&amp;-Table1[[#This Row],[Shop No / Office No. / Flat No.]]</f>
        <v>A-1604</v>
      </c>
      <c r="J237" s="159">
        <v>73.91</v>
      </c>
      <c r="K237" s="151">
        <f t="shared" si="7"/>
        <v>795.56723999999997</v>
      </c>
      <c r="L237" s="152">
        <f>Table1[[#This Row],[RERA Carpet Area (Sq. Ft.)]]*1.1</f>
        <v>875.123964</v>
      </c>
      <c r="M237" s="150" t="s">
        <v>168</v>
      </c>
      <c r="N237" s="152" t="s">
        <v>168</v>
      </c>
      <c r="O237" s="152">
        <v>15407100</v>
      </c>
      <c r="P237" s="154">
        <v>6933195</v>
      </c>
      <c r="Q237" s="154">
        <f>Table1[[#This Row],[Agreement Value as per  Excel]]-Table1[[#This Row],[Amt Received as per Excel]]</f>
        <v>8473905</v>
      </c>
      <c r="R237" s="155">
        <f t="shared" si="6"/>
        <v>19366.182046410057</v>
      </c>
      <c r="S237" s="160"/>
      <c r="T237" s="161"/>
      <c r="U237" s="157"/>
    </row>
    <row r="238" spans="2:21" x14ac:dyDescent="0.3">
      <c r="B238" s="163">
        <v>211</v>
      </c>
      <c r="C238" s="148" t="s">
        <v>34</v>
      </c>
      <c r="D238" s="149" t="s">
        <v>228</v>
      </c>
      <c r="E238" s="150">
        <v>1605</v>
      </c>
      <c r="F238" s="150" t="s">
        <v>172</v>
      </c>
      <c r="G238" s="150" t="s">
        <v>169</v>
      </c>
      <c r="H238" s="150" t="s">
        <v>170</v>
      </c>
      <c r="I238" s="150" t="str">
        <f>Table1[[#This Row],[Wing]]&amp;-Table1[[#This Row],[Shop No / Office No. / Flat No.]]</f>
        <v>A-1605</v>
      </c>
      <c r="J238" s="151">
        <v>44.07</v>
      </c>
      <c r="K238" s="151">
        <f t="shared" si="7"/>
        <v>474.36947999999995</v>
      </c>
      <c r="L238" s="152">
        <f>Table1[[#This Row],[RERA Carpet Area (Sq. Ft.)]]*1.1</f>
        <v>521.80642799999998</v>
      </c>
      <c r="M238" s="153" t="s">
        <v>211</v>
      </c>
      <c r="N238" s="164" t="s">
        <v>266</v>
      </c>
      <c r="O238" s="164"/>
      <c r="P238" s="154"/>
      <c r="Q238" s="154">
        <f>Table1[[#This Row],[Agreement Value as per  Excel]]-Table1[[#This Row],[Amt Received as per Excel]]</f>
        <v>0</v>
      </c>
      <c r="R238" s="155">
        <f t="shared" si="6"/>
        <v>0</v>
      </c>
      <c r="S238" s="165"/>
      <c r="T238" s="166"/>
      <c r="U238" s="157"/>
    </row>
    <row r="239" spans="2:21" x14ac:dyDescent="0.3">
      <c r="B239" s="148">
        <v>212</v>
      </c>
      <c r="C239" s="148" t="s">
        <v>34</v>
      </c>
      <c r="D239" s="149" t="s">
        <v>228</v>
      </c>
      <c r="E239" s="150">
        <v>1606</v>
      </c>
      <c r="F239" s="150" t="s">
        <v>172</v>
      </c>
      <c r="G239" s="150" t="s">
        <v>169</v>
      </c>
      <c r="H239" s="150" t="s">
        <v>170</v>
      </c>
      <c r="I239" s="150" t="str">
        <f>Table1[[#This Row],[Wing]]&amp;-Table1[[#This Row],[Shop No / Office No. / Flat No.]]</f>
        <v>A-1606</v>
      </c>
      <c r="J239" s="151">
        <v>44.13</v>
      </c>
      <c r="K239" s="151">
        <f t="shared" si="7"/>
        <v>475.01531999999997</v>
      </c>
      <c r="L239" s="152">
        <f>Table1[[#This Row],[RERA Carpet Area (Sq. Ft.)]]*1.1</f>
        <v>522.51685199999997</v>
      </c>
      <c r="M239" s="153" t="s">
        <v>211</v>
      </c>
      <c r="N239" s="152" t="s">
        <v>266</v>
      </c>
      <c r="O239" s="152"/>
      <c r="P239" s="154"/>
      <c r="Q239" s="154">
        <f>Table1[[#This Row],[Agreement Value as per  Excel]]-Table1[[#This Row],[Amt Received as per Excel]]</f>
        <v>0</v>
      </c>
      <c r="R239" s="155">
        <f t="shared" si="6"/>
        <v>0</v>
      </c>
      <c r="S239" s="160"/>
      <c r="T239" s="161"/>
      <c r="U239" s="157"/>
    </row>
    <row r="240" spans="2:21" x14ac:dyDescent="0.3">
      <c r="B240" s="148">
        <v>213</v>
      </c>
      <c r="C240" s="148" t="s">
        <v>34</v>
      </c>
      <c r="D240" s="149" t="s">
        <v>228</v>
      </c>
      <c r="E240" s="150">
        <v>1607</v>
      </c>
      <c r="F240" s="150" t="s">
        <v>173</v>
      </c>
      <c r="G240" s="150" t="s">
        <v>169</v>
      </c>
      <c r="H240" s="150" t="s">
        <v>170</v>
      </c>
      <c r="I240" s="150" t="str">
        <f>Table1[[#This Row],[Wing]]&amp;-Table1[[#This Row],[Shop No / Office No. / Flat No.]]</f>
        <v>A-1607</v>
      </c>
      <c r="J240" s="151">
        <v>33.01</v>
      </c>
      <c r="K240" s="151">
        <f t="shared" si="7"/>
        <v>355.31963999999994</v>
      </c>
      <c r="L240" s="152">
        <f>Table1[[#This Row],[RERA Carpet Area (Sq. Ft.)]]*1.1</f>
        <v>390.85160399999995</v>
      </c>
      <c r="M240" s="153" t="s">
        <v>211</v>
      </c>
      <c r="N240" s="152" t="s">
        <v>266</v>
      </c>
      <c r="O240" s="152"/>
      <c r="P240" s="154"/>
      <c r="Q240" s="154">
        <f>Table1[[#This Row],[Agreement Value as per  Excel]]-Table1[[#This Row],[Amt Received as per Excel]]</f>
        <v>0</v>
      </c>
      <c r="R240" s="155">
        <f t="shared" si="6"/>
        <v>0</v>
      </c>
      <c r="S240" s="160"/>
      <c r="T240" s="161"/>
      <c r="U240" s="157"/>
    </row>
    <row r="241" spans="2:21" hidden="1" x14ac:dyDescent="0.3">
      <c r="B241" s="148">
        <v>214</v>
      </c>
      <c r="C241" s="150" t="s">
        <v>34</v>
      </c>
      <c r="D241" s="149" t="s">
        <v>228</v>
      </c>
      <c r="E241" s="150">
        <v>1608</v>
      </c>
      <c r="F241" s="150" t="s">
        <v>172</v>
      </c>
      <c r="G241" s="150" t="s">
        <v>169</v>
      </c>
      <c r="H241" s="150" t="s">
        <v>166</v>
      </c>
      <c r="I241" s="150" t="str">
        <f>Table1[[#This Row],[Wing]]&amp;-Table1[[#This Row],[Shop No / Office No. / Flat No.]]</f>
        <v>A-1608</v>
      </c>
      <c r="J241" s="151">
        <v>54.17</v>
      </c>
      <c r="K241" s="151">
        <f t="shared" si="7"/>
        <v>583.08587999999997</v>
      </c>
      <c r="L241" s="152">
        <f>Table1[[#This Row],[RERA Carpet Area (Sq. Ft.)]]*1.1</f>
        <v>641.39446800000007</v>
      </c>
      <c r="M241" s="153" t="s">
        <v>211</v>
      </c>
      <c r="N241" s="152" t="s">
        <v>168</v>
      </c>
      <c r="O241" s="152">
        <v>14820975</v>
      </c>
      <c r="P241" s="154">
        <v>8892585</v>
      </c>
      <c r="Q241" s="154">
        <f>Table1[[#This Row],[Agreement Value as per  Excel]]-Table1[[#This Row],[Amt Received as per Excel]]</f>
        <v>5928390</v>
      </c>
      <c r="R241" s="155">
        <f t="shared" si="6"/>
        <v>25418.168246502559</v>
      </c>
      <c r="S241" s="160"/>
      <c r="T241" s="161"/>
      <c r="U241" s="157"/>
    </row>
    <row r="242" spans="2:21" x14ac:dyDescent="0.3">
      <c r="B242" s="148">
        <v>215</v>
      </c>
      <c r="C242" s="148" t="s">
        <v>34</v>
      </c>
      <c r="D242" s="149" t="s">
        <v>228</v>
      </c>
      <c r="E242" s="150">
        <v>1609</v>
      </c>
      <c r="F242" s="150" t="s">
        <v>173</v>
      </c>
      <c r="G242" s="150" t="s">
        <v>169</v>
      </c>
      <c r="H242" s="150" t="s">
        <v>170</v>
      </c>
      <c r="I242" s="150" t="str">
        <f>Table1[[#This Row],[Wing]]&amp;-Table1[[#This Row],[Shop No / Office No. / Flat No.]]</f>
        <v>A-1609</v>
      </c>
      <c r="J242" s="151">
        <v>44.48</v>
      </c>
      <c r="K242" s="151">
        <f t="shared" si="7"/>
        <v>478.78271999999993</v>
      </c>
      <c r="L242" s="152">
        <f>Table1[[#This Row],[RERA Carpet Area (Sq. Ft.)]]*1.1</f>
        <v>526.66099199999996</v>
      </c>
      <c r="M242" s="153" t="s">
        <v>211</v>
      </c>
      <c r="N242" s="152" t="s">
        <v>265</v>
      </c>
      <c r="O242" s="267">
        <v>2374550</v>
      </c>
      <c r="P242" s="268">
        <v>712365</v>
      </c>
      <c r="Q242" s="154">
        <f>Table1[[#This Row],[Agreement Value as per  Excel]]-Table1[[#This Row],[Amt Received as per Excel]]</f>
        <v>1662185</v>
      </c>
      <c r="R242" s="155">
        <f t="shared" si="6"/>
        <v>4959.5566022098719</v>
      </c>
      <c r="S242" s="160"/>
      <c r="T242" s="161"/>
      <c r="U242" s="157"/>
    </row>
    <row r="243" spans="2:21" x14ac:dyDescent="0.3">
      <c r="B243" s="148">
        <v>216</v>
      </c>
      <c r="C243" s="148" t="s">
        <v>34</v>
      </c>
      <c r="D243" s="149" t="s">
        <v>228</v>
      </c>
      <c r="E243" s="150">
        <v>1610</v>
      </c>
      <c r="F243" s="150" t="s">
        <v>173</v>
      </c>
      <c r="G243" s="150" t="s">
        <v>169</v>
      </c>
      <c r="H243" s="150" t="s">
        <v>170</v>
      </c>
      <c r="I243" s="150" t="str">
        <f>Table1[[#This Row],[Wing]]&amp;-Table1[[#This Row],[Shop No / Office No. / Flat No.]]</f>
        <v>A-1610</v>
      </c>
      <c r="J243" s="151">
        <v>33.01</v>
      </c>
      <c r="K243" s="151">
        <f t="shared" si="7"/>
        <v>355.31963999999994</v>
      </c>
      <c r="L243" s="152">
        <f>Table1[[#This Row],[RERA Carpet Area (Sq. Ft.)]]*1.1</f>
        <v>390.85160399999995</v>
      </c>
      <c r="M243" s="153" t="s">
        <v>211</v>
      </c>
      <c r="N243" s="152" t="s">
        <v>266</v>
      </c>
      <c r="O243" s="152"/>
      <c r="P243" s="154"/>
      <c r="Q243" s="154">
        <f>Table1[[#This Row],[Agreement Value as per  Excel]]-Table1[[#This Row],[Amt Received as per Excel]]</f>
        <v>0</v>
      </c>
      <c r="R243" s="155">
        <f t="shared" si="6"/>
        <v>0</v>
      </c>
      <c r="S243" s="160"/>
      <c r="T243" s="161"/>
      <c r="U243" s="157"/>
    </row>
    <row r="244" spans="2:21" x14ac:dyDescent="0.3">
      <c r="B244" s="148">
        <v>217</v>
      </c>
      <c r="C244" s="148" t="s">
        <v>34</v>
      </c>
      <c r="D244" s="149" t="s">
        <v>229</v>
      </c>
      <c r="E244" s="150">
        <v>1701</v>
      </c>
      <c r="F244" s="150" t="s">
        <v>172</v>
      </c>
      <c r="G244" s="150" t="s">
        <v>169</v>
      </c>
      <c r="H244" s="150" t="s">
        <v>170</v>
      </c>
      <c r="I244" s="150" t="str">
        <f>Table1[[#This Row],[Wing]]&amp;-Table1[[#This Row],[Shop No / Office No. / Flat No.]]</f>
        <v>A-1701</v>
      </c>
      <c r="J244" s="151">
        <v>44.07</v>
      </c>
      <c r="K244" s="151">
        <f t="shared" si="7"/>
        <v>474.36947999999995</v>
      </c>
      <c r="L244" s="152">
        <f>Table1[[#This Row],[RERA Carpet Area (Sq. Ft.)]]*1.1</f>
        <v>521.80642799999998</v>
      </c>
      <c r="M244" s="153" t="s">
        <v>211</v>
      </c>
      <c r="N244" s="152" t="s">
        <v>266</v>
      </c>
      <c r="O244" s="152"/>
      <c r="P244" s="154"/>
      <c r="Q244" s="154">
        <f>Table1[[#This Row],[Agreement Value as per  Excel]]-Table1[[#This Row],[Amt Received as per Excel]]</f>
        <v>0</v>
      </c>
      <c r="R244" s="155">
        <f t="shared" si="6"/>
        <v>0</v>
      </c>
      <c r="S244" s="160"/>
      <c r="T244" s="161"/>
      <c r="U244" s="157"/>
    </row>
    <row r="245" spans="2:21" x14ac:dyDescent="0.3">
      <c r="B245" s="148">
        <v>218</v>
      </c>
      <c r="C245" s="148" t="s">
        <v>34</v>
      </c>
      <c r="D245" s="149" t="s">
        <v>229</v>
      </c>
      <c r="E245" s="150">
        <v>1702</v>
      </c>
      <c r="F245" s="150" t="s">
        <v>172</v>
      </c>
      <c r="G245" s="150" t="s">
        <v>169</v>
      </c>
      <c r="H245" s="150" t="s">
        <v>170</v>
      </c>
      <c r="I245" s="150" t="str">
        <f>Table1[[#This Row],[Wing]]&amp;-Table1[[#This Row],[Shop No / Office No. / Flat No.]]</f>
        <v>A-1702</v>
      </c>
      <c r="J245" s="151">
        <v>44.07</v>
      </c>
      <c r="K245" s="151">
        <f t="shared" si="7"/>
        <v>474.36947999999995</v>
      </c>
      <c r="L245" s="152">
        <f>Table1[[#This Row],[RERA Carpet Area (Sq. Ft.)]]*1.1</f>
        <v>521.80642799999998</v>
      </c>
      <c r="M245" s="153" t="s">
        <v>211</v>
      </c>
      <c r="N245" s="152" t="s">
        <v>266</v>
      </c>
      <c r="O245" s="152"/>
      <c r="P245" s="154"/>
      <c r="Q245" s="154">
        <f>Table1[[#This Row],[Agreement Value as per  Excel]]-Table1[[#This Row],[Amt Received as per Excel]]</f>
        <v>0</v>
      </c>
      <c r="R245" s="155">
        <f t="shared" si="6"/>
        <v>0</v>
      </c>
      <c r="S245" s="160"/>
      <c r="T245" s="161"/>
      <c r="U245" s="157"/>
    </row>
    <row r="246" spans="2:21" hidden="1" x14ac:dyDescent="0.3">
      <c r="B246" s="148">
        <v>219</v>
      </c>
      <c r="C246" s="148" t="s">
        <v>34</v>
      </c>
      <c r="D246" s="149" t="s">
        <v>229</v>
      </c>
      <c r="E246" s="150">
        <v>1703</v>
      </c>
      <c r="F246" s="150" t="s">
        <v>174</v>
      </c>
      <c r="G246" s="150" t="s">
        <v>169</v>
      </c>
      <c r="H246" s="150" t="s">
        <v>166</v>
      </c>
      <c r="I246" s="150" t="str">
        <f>Table1[[#This Row],[Wing]]&amp;-Table1[[#This Row],[Shop No / Office No. / Flat No.]]</f>
        <v>A-1703</v>
      </c>
      <c r="J246" s="159">
        <v>73.91</v>
      </c>
      <c r="K246" s="151">
        <f t="shared" si="7"/>
        <v>795.56723999999997</v>
      </c>
      <c r="L246" s="152">
        <f>Table1[[#This Row],[RERA Carpet Area (Sq. Ft.)]]*1.1</f>
        <v>875.123964</v>
      </c>
      <c r="M246" s="153" t="s">
        <v>168</v>
      </c>
      <c r="N246" s="152" t="s">
        <v>168</v>
      </c>
      <c r="O246" s="152">
        <v>17014700</v>
      </c>
      <c r="P246" s="154">
        <v>10038673</v>
      </c>
      <c r="Q246" s="154">
        <f>Table1[[#This Row],[Agreement Value as per  Excel]]-Table1[[#This Row],[Amt Received as per Excel]]</f>
        <v>6976027</v>
      </c>
      <c r="R246" s="155">
        <f t="shared" si="6"/>
        <v>21386.878625117846</v>
      </c>
      <c r="S246" s="160"/>
      <c r="T246" s="161"/>
      <c r="U246" s="157"/>
    </row>
    <row r="247" spans="2:21" hidden="1" x14ac:dyDescent="0.3">
      <c r="B247" s="148">
        <v>220</v>
      </c>
      <c r="C247" s="148" t="s">
        <v>34</v>
      </c>
      <c r="D247" s="149" t="s">
        <v>229</v>
      </c>
      <c r="E247" s="150">
        <v>1704</v>
      </c>
      <c r="F247" s="150" t="s">
        <v>174</v>
      </c>
      <c r="G247" s="150" t="s">
        <v>169</v>
      </c>
      <c r="H247" s="150" t="s">
        <v>166</v>
      </c>
      <c r="I247" s="150" t="str">
        <f>Table1[[#This Row],[Wing]]&amp;-Table1[[#This Row],[Shop No / Office No. / Flat No.]]</f>
        <v>A-1704</v>
      </c>
      <c r="J247" s="159">
        <v>73.91</v>
      </c>
      <c r="K247" s="151">
        <f t="shared" si="7"/>
        <v>795.56723999999997</v>
      </c>
      <c r="L247" s="152">
        <f>Table1[[#This Row],[RERA Carpet Area (Sq. Ft.)]]*1.1</f>
        <v>875.123964</v>
      </c>
      <c r="M247" s="153" t="s">
        <v>168</v>
      </c>
      <c r="N247" s="152" t="s">
        <v>168</v>
      </c>
      <c r="O247" s="152">
        <v>17744400</v>
      </c>
      <c r="P247" s="154">
        <v>12124440</v>
      </c>
      <c r="Q247" s="154">
        <f>Table1[[#This Row],[Agreement Value as per  Excel]]-Table1[[#This Row],[Amt Received as per Excel]]</f>
        <v>5619960</v>
      </c>
      <c r="R247" s="155">
        <f t="shared" si="6"/>
        <v>22304.085824348425</v>
      </c>
      <c r="S247" s="160"/>
      <c r="T247" s="161"/>
      <c r="U247" s="157"/>
    </row>
    <row r="248" spans="2:21" x14ac:dyDescent="0.3">
      <c r="B248" s="148">
        <v>221</v>
      </c>
      <c r="C248" s="148" t="s">
        <v>34</v>
      </c>
      <c r="D248" s="149" t="s">
        <v>229</v>
      </c>
      <c r="E248" s="150">
        <v>1705</v>
      </c>
      <c r="F248" s="150" t="s">
        <v>172</v>
      </c>
      <c r="G248" s="150" t="s">
        <v>169</v>
      </c>
      <c r="H248" s="150" t="s">
        <v>170</v>
      </c>
      <c r="I248" s="150" t="str">
        <f>Table1[[#This Row],[Wing]]&amp;-Table1[[#This Row],[Shop No / Office No. / Flat No.]]</f>
        <v>A-1705</v>
      </c>
      <c r="J248" s="151">
        <v>44.07</v>
      </c>
      <c r="K248" s="151">
        <f t="shared" si="7"/>
        <v>474.36947999999995</v>
      </c>
      <c r="L248" s="152">
        <f>Table1[[#This Row],[RERA Carpet Area (Sq. Ft.)]]*1.1</f>
        <v>521.80642799999998</v>
      </c>
      <c r="M248" s="153" t="s">
        <v>211</v>
      </c>
      <c r="N248" s="152" t="s">
        <v>266</v>
      </c>
      <c r="O248" s="152"/>
      <c r="P248" s="154"/>
      <c r="Q248" s="154">
        <f>Table1[[#This Row],[Agreement Value as per  Excel]]-Table1[[#This Row],[Amt Received as per Excel]]</f>
        <v>0</v>
      </c>
      <c r="R248" s="155">
        <f t="shared" si="6"/>
        <v>0</v>
      </c>
      <c r="S248" s="160"/>
      <c r="T248" s="161"/>
      <c r="U248" s="157"/>
    </row>
    <row r="249" spans="2:21" x14ac:dyDescent="0.3">
      <c r="B249" s="148">
        <v>222</v>
      </c>
      <c r="C249" s="148" t="s">
        <v>34</v>
      </c>
      <c r="D249" s="149" t="s">
        <v>229</v>
      </c>
      <c r="E249" s="150">
        <v>1706</v>
      </c>
      <c r="F249" s="150" t="s">
        <v>172</v>
      </c>
      <c r="G249" s="150" t="s">
        <v>169</v>
      </c>
      <c r="H249" s="150" t="s">
        <v>170</v>
      </c>
      <c r="I249" s="150" t="str">
        <f>Table1[[#This Row],[Wing]]&amp;-Table1[[#This Row],[Shop No / Office No. / Flat No.]]</f>
        <v>A-1706</v>
      </c>
      <c r="J249" s="151">
        <v>44.13</v>
      </c>
      <c r="K249" s="151">
        <f t="shared" si="7"/>
        <v>475.01531999999997</v>
      </c>
      <c r="L249" s="152">
        <f>Table1[[#This Row],[RERA Carpet Area (Sq. Ft.)]]*1.1</f>
        <v>522.51685199999997</v>
      </c>
      <c r="M249" s="153" t="s">
        <v>211</v>
      </c>
      <c r="N249" s="152" t="s">
        <v>266</v>
      </c>
      <c r="O249" s="152"/>
      <c r="P249" s="154"/>
      <c r="Q249" s="154">
        <f>Table1[[#This Row],[Agreement Value as per  Excel]]-Table1[[#This Row],[Amt Received as per Excel]]</f>
        <v>0</v>
      </c>
      <c r="R249" s="155">
        <f t="shared" si="6"/>
        <v>0</v>
      </c>
      <c r="S249" s="160"/>
      <c r="T249" s="161"/>
      <c r="U249" s="157"/>
    </row>
    <row r="250" spans="2:21" x14ac:dyDescent="0.3">
      <c r="B250" s="148">
        <v>223</v>
      </c>
      <c r="C250" s="148" t="s">
        <v>34</v>
      </c>
      <c r="D250" s="149" t="s">
        <v>229</v>
      </c>
      <c r="E250" s="150">
        <v>1707</v>
      </c>
      <c r="F250" s="150" t="s">
        <v>173</v>
      </c>
      <c r="G250" s="150" t="s">
        <v>169</v>
      </c>
      <c r="H250" s="150" t="s">
        <v>170</v>
      </c>
      <c r="I250" s="150" t="str">
        <f>Table1[[#This Row],[Wing]]&amp;-Table1[[#This Row],[Shop No / Office No. / Flat No.]]</f>
        <v>A-1707</v>
      </c>
      <c r="J250" s="151">
        <v>33.01</v>
      </c>
      <c r="K250" s="151">
        <f t="shared" si="7"/>
        <v>355.31963999999994</v>
      </c>
      <c r="L250" s="152">
        <f>Table1[[#This Row],[RERA Carpet Area (Sq. Ft.)]]*1.1</f>
        <v>390.85160399999995</v>
      </c>
      <c r="M250" s="153" t="s">
        <v>211</v>
      </c>
      <c r="N250" s="152" t="s">
        <v>266</v>
      </c>
      <c r="O250" s="152"/>
      <c r="P250" s="154"/>
      <c r="Q250" s="154">
        <f>Table1[[#This Row],[Agreement Value as per  Excel]]-Table1[[#This Row],[Amt Received as per Excel]]</f>
        <v>0</v>
      </c>
      <c r="R250" s="155">
        <f t="shared" si="6"/>
        <v>0</v>
      </c>
      <c r="S250" s="160"/>
      <c r="T250" s="161"/>
      <c r="U250" s="157"/>
    </row>
    <row r="251" spans="2:21" hidden="1" x14ac:dyDescent="0.3">
      <c r="B251" s="148">
        <v>224</v>
      </c>
      <c r="C251" s="148" t="s">
        <v>34</v>
      </c>
      <c r="D251" s="149" t="s">
        <v>229</v>
      </c>
      <c r="E251" s="150">
        <v>1708</v>
      </c>
      <c r="F251" s="150" t="s">
        <v>172</v>
      </c>
      <c r="G251" s="150" t="s">
        <v>169</v>
      </c>
      <c r="H251" s="150" t="s">
        <v>166</v>
      </c>
      <c r="I251" s="150" t="str">
        <f>Table1[[#This Row],[Wing]]&amp;-Table1[[#This Row],[Shop No / Office No. / Flat No.]]</f>
        <v>A-1708</v>
      </c>
      <c r="J251" s="159">
        <v>54.17</v>
      </c>
      <c r="K251" s="151">
        <f t="shared" si="7"/>
        <v>583.08587999999997</v>
      </c>
      <c r="L251" s="152">
        <f>Table1[[#This Row],[RERA Carpet Area (Sq. Ft.)]]*1.1</f>
        <v>641.39446800000007</v>
      </c>
      <c r="M251" s="153" t="s">
        <v>168</v>
      </c>
      <c r="N251" s="152" t="s">
        <v>168</v>
      </c>
      <c r="O251" s="152">
        <v>8775000</v>
      </c>
      <c r="P251" s="154">
        <v>5250750</v>
      </c>
      <c r="Q251" s="154">
        <f>Table1[[#This Row],[Agreement Value as per  Excel]]-Table1[[#This Row],[Amt Received as per Excel]]</f>
        <v>3524250</v>
      </c>
      <c r="R251" s="155">
        <f t="shared" si="6"/>
        <v>15049.241116934611</v>
      </c>
      <c r="S251" s="160"/>
      <c r="T251" s="161"/>
      <c r="U251" s="157"/>
    </row>
    <row r="252" spans="2:21" x14ac:dyDescent="0.3">
      <c r="B252" s="148">
        <v>225</v>
      </c>
      <c r="C252" s="148" t="s">
        <v>34</v>
      </c>
      <c r="D252" s="149" t="s">
        <v>229</v>
      </c>
      <c r="E252" s="150">
        <v>1709</v>
      </c>
      <c r="F252" s="150" t="s">
        <v>172</v>
      </c>
      <c r="G252" s="150" t="s">
        <v>169</v>
      </c>
      <c r="H252" s="150" t="s">
        <v>170</v>
      </c>
      <c r="I252" s="150" t="str">
        <f>Table1[[#This Row],[Wing]]&amp;-Table1[[#This Row],[Shop No / Office No. / Flat No.]]</f>
        <v>A-1709</v>
      </c>
      <c r="J252" s="151">
        <v>54.05</v>
      </c>
      <c r="K252" s="151">
        <f t="shared" si="7"/>
        <v>581.79419999999993</v>
      </c>
      <c r="L252" s="152">
        <f>Table1[[#This Row],[RERA Carpet Area (Sq. Ft.)]]*1.1</f>
        <v>639.97361999999998</v>
      </c>
      <c r="M252" s="153" t="s">
        <v>211</v>
      </c>
      <c r="N252" s="152" t="s">
        <v>265</v>
      </c>
      <c r="O252" s="267">
        <v>2093650</v>
      </c>
      <c r="P252" s="268">
        <v>628095</v>
      </c>
      <c r="Q252" s="154">
        <f>Table1[[#This Row],[Agreement Value as per  Excel]]-Table1[[#This Row],[Amt Received as per Excel]]</f>
        <v>1465555</v>
      </c>
      <c r="R252" s="155">
        <f t="shared" si="6"/>
        <v>3598.6092676757526</v>
      </c>
      <c r="S252" s="160"/>
      <c r="T252" s="161"/>
      <c r="U252" s="157"/>
    </row>
    <row r="253" spans="2:21" x14ac:dyDescent="0.3">
      <c r="B253" s="148">
        <v>226</v>
      </c>
      <c r="C253" s="148" t="s">
        <v>34</v>
      </c>
      <c r="D253" s="149" t="s">
        <v>229</v>
      </c>
      <c r="E253" s="150">
        <v>1710</v>
      </c>
      <c r="F253" s="150" t="s">
        <v>173</v>
      </c>
      <c r="G253" s="150" t="s">
        <v>169</v>
      </c>
      <c r="H253" s="150" t="s">
        <v>170</v>
      </c>
      <c r="I253" s="150" t="str">
        <f>Table1[[#This Row],[Wing]]&amp;-Table1[[#This Row],[Shop No / Office No. / Flat No.]]</f>
        <v>A-1710</v>
      </c>
      <c r="J253" s="151">
        <v>33.01</v>
      </c>
      <c r="K253" s="151">
        <f t="shared" si="7"/>
        <v>355.31963999999994</v>
      </c>
      <c r="L253" s="152">
        <f>Table1[[#This Row],[RERA Carpet Area (Sq. Ft.)]]*1.1</f>
        <v>390.85160399999995</v>
      </c>
      <c r="M253" s="153" t="s">
        <v>211</v>
      </c>
      <c r="N253" s="152" t="s">
        <v>265</v>
      </c>
      <c r="O253" s="267">
        <v>37000</v>
      </c>
      <c r="P253" s="268">
        <v>27750</v>
      </c>
      <c r="Q253" s="154">
        <f>Table1[[#This Row],[Agreement Value as per  Excel]]-Table1[[#This Row],[Amt Received as per Excel]]</f>
        <v>9250</v>
      </c>
      <c r="R253" s="155">
        <f t="shared" si="6"/>
        <v>104.13159261334388</v>
      </c>
      <c r="S253" s="160"/>
      <c r="T253" s="161"/>
      <c r="U253" s="157"/>
    </row>
    <row r="254" spans="2:21" x14ac:dyDescent="0.3">
      <c r="B254" s="148">
        <v>227</v>
      </c>
      <c r="C254" s="148" t="s">
        <v>34</v>
      </c>
      <c r="D254" s="149" t="s">
        <v>230</v>
      </c>
      <c r="E254" s="150">
        <v>1801</v>
      </c>
      <c r="F254" s="150" t="s">
        <v>172</v>
      </c>
      <c r="G254" s="150" t="s">
        <v>169</v>
      </c>
      <c r="H254" s="150" t="s">
        <v>170</v>
      </c>
      <c r="I254" s="150" t="str">
        <f>Table1[[#This Row],[Wing]]&amp;-Table1[[#This Row],[Shop No / Office No. / Flat No.]]</f>
        <v>A-1801</v>
      </c>
      <c r="J254" s="151">
        <v>44.07</v>
      </c>
      <c r="K254" s="151">
        <f t="shared" si="7"/>
        <v>474.36947999999995</v>
      </c>
      <c r="L254" s="152">
        <f>Table1[[#This Row],[RERA Carpet Area (Sq. Ft.)]]*1.1</f>
        <v>521.80642799999998</v>
      </c>
      <c r="M254" s="153" t="s">
        <v>211</v>
      </c>
      <c r="N254" s="152" t="s">
        <v>266</v>
      </c>
      <c r="O254" s="152"/>
      <c r="P254" s="154"/>
      <c r="Q254" s="154">
        <f>Table1[[#This Row],[Agreement Value as per  Excel]]-Table1[[#This Row],[Amt Received as per Excel]]</f>
        <v>0</v>
      </c>
      <c r="R254" s="155">
        <f t="shared" si="6"/>
        <v>0</v>
      </c>
      <c r="S254" s="160"/>
      <c r="T254" s="161"/>
      <c r="U254" s="157"/>
    </row>
    <row r="255" spans="2:21" x14ac:dyDescent="0.3">
      <c r="B255" s="148">
        <v>228</v>
      </c>
      <c r="C255" s="148" t="s">
        <v>34</v>
      </c>
      <c r="D255" s="149" t="s">
        <v>230</v>
      </c>
      <c r="E255" s="150">
        <v>1802</v>
      </c>
      <c r="F255" s="150" t="s">
        <v>172</v>
      </c>
      <c r="G255" s="150" t="s">
        <v>169</v>
      </c>
      <c r="H255" s="150" t="s">
        <v>170</v>
      </c>
      <c r="I255" s="150" t="str">
        <f>Table1[[#This Row],[Wing]]&amp;-Table1[[#This Row],[Shop No / Office No. / Flat No.]]</f>
        <v>A-1802</v>
      </c>
      <c r="J255" s="151">
        <v>44.07</v>
      </c>
      <c r="K255" s="151">
        <f t="shared" si="7"/>
        <v>474.36947999999995</v>
      </c>
      <c r="L255" s="152">
        <f>Table1[[#This Row],[RERA Carpet Area (Sq. Ft.)]]*1.1</f>
        <v>521.80642799999998</v>
      </c>
      <c r="M255" s="153" t="s">
        <v>211</v>
      </c>
      <c r="N255" s="152" t="s">
        <v>266</v>
      </c>
      <c r="O255" s="152"/>
      <c r="P255" s="154"/>
      <c r="Q255" s="154">
        <f>Table1[[#This Row],[Agreement Value as per  Excel]]-Table1[[#This Row],[Amt Received as per Excel]]</f>
        <v>0</v>
      </c>
      <c r="R255" s="155">
        <f t="shared" si="6"/>
        <v>0</v>
      </c>
      <c r="S255" s="160"/>
      <c r="T255" s="161"/>
      <c r="U255" s="157"/>
    </row>
    <row r="256" spans="2:21" x14ac:dyDescent="0.3">
      <c r="B256" s="148">
        <v>229</v>
      </c>
      <c r="C256" s="148" t="s">
        <v>34</v>
      </c>
      <c r="D256" s="149" t="s">
        <v>230</v>
      </c>
      <c r="E256" s="150">
        <v>1803</v>
      </c>
      <c r="F256" s="150" t="s">
        <v>174</v>
      </c>
      <c r="G256" s="150" t="s">
        <v>169</v>
      </c>
      <c r="H256" s="150" t="s">
        <v>166</v>
      </c>
      <c r="I256" s="150" t="str">
        <f>Table1[[#This Row],[Wing]]&amp;-Table1[[#This Row],[Shop No / Office No. / Flat No.]]</f>
        <v>A-1803</v>
      </c>
      <c r="J256" s="151">
        <v>73.91</v>
      </c>
      <c r="K256" s="151">
        <f t="shared" si="7"/>
        <v>795.56723999999997</v>
      </c>
      <c r="L256" s="152">
        <f>Table1[[#This Row],[RERA Carpet Area (Sq. Ft.)]]*1.1</f>
        <v>875.123964</v>
      </c>
      <c r="M256" s="153" t="s">
        <v>211</v>
      </c>
      <c r="N256" s="152" t="s">
        <v>265</v>
      </c>
      <c r="O256" s="272">
        <v>1443000</v>
      </c>
      <c r="P256" s="273">
        <v>432900</v>
      </c>
      <c r="Q256" s="154">
        <f>Table1[[#This Row],[Agreement Value as per  Excel]]-Table1[[#This Row],[Amt Received as per Excel]]</f>
        <v>1010100</v>
      </c>
      <c r="R256" s="155">
        <f t="shared" si="6"/>
        <v>1813.8001760856821</v>
      </c>
      <c r="S256" s="160"/>
      <c r="T256" s="161"/>
      <c r="U256" s="157"/>
    </row>
    <row r="257" spans="2:21" hidden="1" x14ac:dyDescent="0.3">
      <c r="B257" s="148">
        <v>230</v>
      </c>
      <c r="C257" s="148" t="s">
        <v>34</v>
      </c>
      <c r="D257" s="149" t="s">
        <v>230</v>
      </c>
      <c r="E257" s="150">
        <v>1804</v>
      </c>
      <c r="F257" s="150" t="s">
        <v>174</v>
      </c>
      <c r="G257" s="150" t="s">
        <v>169</v>
      </c>
      <c r="H257" s="150" t="s">
        <v>166</v>
      </c>
      <c r="I257" s="150" t="str">
        <f>Table1[[#This Row],[Wing]]&amp;-Table1[[#This Row],[Shop No / Office No. / Flat No.]]</f>
        <v>A-1804</v>
      </c>
      <c r="J257" s="159">
        <v>73.91</v>
      </c>
      <c r="K257" s="151">
        <f t="shared" si="7"/>
        <v>795.56723999999997</v>
      </c>
      <c r="L257" s="152">
        <f>Table1[[#This Row],[RERA Carpet Area (Sq. Ft.)]]*1.1</f>
        <v>875.123964</v>
      </c>
      <c r="M257" s="153" t="s">
        <v>168</v>
      </c>
      <c r="N257" s="152" t="s">
        <v>168</v>
      </c>
      <c r="O257" s="152">
        <v>15407100</v>
      </c>
      <c r="P257" s="154">
        <v>9049846</v>
      </c>
      <c r="Q257" s="154">
        <f>Table1[[#This Row],[Agreement Value as per  Excel]]-Table1[[#This Row],[Amt Received as per Excel]]</f>
        <v>6357254</v>
      </c>
      <c r="R257" s="155">
        <f t="shared" si="6"/>
        <v>19366.182046410057</v>
      </c>
      <c r="S257" s="160"/>
      <c r="T257" s="161"/>
      <c r="U257" s="157"/>
    </row>
    <row r="258" spans="2:21" x14ac:dyDescent="0.3">
      <c r="B258" s="148">
        <v>231</v>
      </c>
      <c r="C258" s="148" t="s">
        <v>34</v>
      </c>
      <c r="D258" s="149" t="s">
        <v>230</v>
      </c>
      <c r="E258" s="150">
        <v>1805</v>
      </c>
      <c r="F258" s="150" t="s">
        <v>172</v>
      </c>
      <c r="G258" s="150" t="s">
        <v>169</v>
      </c>
      <c r="H258" s="150" t="s">
        <v>170</v>
      </c>
      <c r="I258" s="150" t="str">
        <f>Table1[[#This Row],[Wing]]&amp;-Table1[[#This Row],[Shop No / Office No. / Flat No.]]</f>
        <v>A-1805</v>
      </c>
      <c r="J258" s="151">
        <v>44.07</v>
      </c>
      <c r="K258" s="151">
        <f t="shared" si="7"/>
        <v>474.36947999999995</v>
      </c>
      <c r="L258" s="152">
        <f>Table1[[#This Row],[RERA Carpet Area (Sq. Ft.)]]*1.1</f>
        <v>521.80642799999998</v>
      </c>
      <c r="M258" s="153" t="s">
        <v>211</v>
      </c>
      <c r="N258" s="152" t="s">
        <v>266</v>
      </c>
      <c r="O258" s="152"/>
      <c r="P258" s="154"/>
      <c r="Q258" s="154">
        <f>Table1[[#This Row],[Agreement Value as per  Excel]]-Table1[[#This Row],[Amt Received as per Excel]]</f>
        <v>0</v>
      </c>
      <c r="R258" s="155">
        <f t="shared" si="6"/>
        <v>0</v>
      </c>
      <c r="S258" s="160"/>
      <c r="T258" s="161"/>
      <c r="U258" s="157"/>
    </row>
    <row r="259" spans="2:21" x14ac:dyDescent="0.3">
      <c r="B259" s="148">
        <v>232</v>
      </c>
      <c r="C259" s="148" t="s">
        <v>34</v>
      </c>
      <c r="D259" s="149" t="s">
        <v>230</v>
      </c>
      <c r="E259" s="150">
        <v>1806</v>
      </c>
      <c r="F259" s="150" t="s">
        <v>172</v>
      </c>
      <c r="G259" s="150" t="s">
        <v>169</v>
      </c>
      <c r="H259" s="150" t="s">
        <v>170</v>
      </c>
      <c r="I259" s="150" t="str">
        <f>Table1[[#This Row],[Wing]]&amp;-Table1[[#This Row],[Shop No / Office No. / Flat No.]]</f>
        <v>A-1806</v>
      </c>
      <c r="J259" s="151">
        <v>44.13</v>
      </c>
      <c r="K259" s="151">
        <f t="shared" si="7"/>
        <v>475.01531999999997</v>
      </c>
      <c r="L259" s="152">
        <f>Table1[[#This Row],[RERA Carpet Area (Sq. Ft.)]]*1.1</f>
        <v>522.51685199999997</v>
      </c>
      <c r="M259" s="153" t="s">
        <v>211</v>
      </c>
      <c r="N259" s="152" t="s">
        <v>266</v>
      </c>
      <c r="O259" s="152"/>
      <c r="P259" s="154"/>
      <c r="Q259" s="154">
        <f>Table1[[#This Row],[Agreement Value as per  Excel]]-Table1[[#This Row],[Amt Received as per Excel]]</f>
        <v>0</v>
      </c>
      <c r="R259" s="155">
        <f t="shared" ref="R259:R322" si="8">IFERROR(O259/K259,0)</f>
        <v>0</v>
      </c>
      <c r="S259" s="160"/>
      <c r="T259" s="161"/>
      <c r="U259" s="157"/>
    </row>
    <row r="260" spans="2:21" x14ac:dyDescent="0.3">
      <c r="B260" s="148">
        <v>233</v>
      </c>
      <c r="C260" s="148" t="s">
        <v>34</v>
      </c>
      <c r="D260" s="149" t="s">
        <v>230</v>
      </c>
      <c r="E260" s="150">
        <v>1807</v>
      </c>
      <c r="F260" s="150" t="s">
        <v>173</v>
      </c>
      <c r="G260" s="150" t="s">
        <v>169</v>
      </c>
      <c r="H260" s="150" t="s">
        <v>170</v>
      </c>
      <c r="I260" s="150" t="str">
        <f>Table1[[#This Row],[Wing]]&amp;-Table1[[#This Row],[Shop No / Office No. / Flat No.]]</f>
        <v>A-1807</v>
      </c>
      <c r="J260" s="151">
        <v>33.01</v>
      </c>
      <c r="K260" s="151">
        <f t="shared" si="7"/>
        <v>355.31963999999994</v>
      </c>
      <c r="L260" s="152">
        <f>Table1[[#This Row],[RERA Carpet Area (Sq. Ft.)]]*1.1</f>
        <v>390.85160399999995</v>
      </c>
      <c r="M260" s="153" t="s">
        <v>211</v>
      </c>
      <c r="N260" s="152" t="s">
        <v>266</v>
      </c>
      <c r="O260" s="152"/>
      <c r="P260" s="154"/>
      <c r="Q260" s="154">
        <f>Table1[[#This Row],[Agreement Value as per  Excel]]-Table1[[#This Row],[Amt Received as per Excel]]</f>
        <v>0</v>
      </c>
      <c r="R260" s="155">
        <f t="shared" si="8"/>
        <v>0</v>
      </c>
      <c r="S260" s="160"/>
      <c r="T260" s="161"/>
      <c r="U260" s="157"/>
    </row>
    <row r="261" spans="2:21" hidden="1" x14ac:dyDescent="0.3">
      <c r="B261" s="148">
        <v>234</v>
      </c>
      <c r="C261" s="148" t="s">
        <v>34</v>
      </c>
      <c r="D261" s="149" t="s">
        <v>230</v>
      </c>
      <c r="E261" s="150">
        <v>1808</v>
      </c>
      <c r="F261" s="150" t="s">
        <v>172</v>
      </c>
      <c r="G261" s="150" t="s">
        <v>169</v>
      </c>
      <c r="H261" s="150" t="s">
        <v>166</v>
      </c>
      <c r="I261" s="150" t="str">
        <f>Table1[[#This Row],[Wing]]&amp;-Table1[[#This Row],[Shop No / Office No. / Flat No.]]</f>
        <v>A-1808</v>
      </c>
      <c r="J261" s="159">
        <v>54.17</v>
      </c>
      <c r="K261" s="151">
        <f t="shared" si="7"/>
        <v>583.08587999999997</v>
      </c>
      <c r="L261" s="152">
        <f>Table1[[#This Row],[RERA Carpet Area (Sq. Ft.)]]*1.1</f>
        <v>641.39446800000007</v>
      </c>
      <c r="M261" s="153" t="s">
        <v>168</v>
      </c>
      <c r="N261" s="152" t="s">
        <v>168</v>
      </c>
      <c r="O261" s="152">
        <v>11870000</v>
      </c>
      <c r="P261" s="154">
        <v>7183037</v>
      </c>
      <c r="Q261" s="154">
        <f>Table1[[#This Row],[Agreement Value as per  Excel]]-Table1[[#This Row],[Amt Received as per Excel]]</f>
        <v>4686963</v>
      </c>
      <c r="R261" s="155">
        <f t="shared" si="8"/>
        <v>20357.207072138328</v>
      </c>
      <c r="S261" s="160"/>
      <c r="T261" s="161"/>
      <c r="U261" s="157"/>
    </row>
    <row r="262" spans="2:21" hidden="1" x14ac:dyDescent="0.3">
      <c r="B262" s="148">
        <v>235</v>
      </c>
      <c r="C262" s="148" t="s">
        <v>34</v>
      </c>
      <c r="D262" s="149" t="s">
        <v>230</v>
      </c>
      <c r="E262" s="150">
        <v>1809</v>
      </c>
      <c r="F262" s="150" t="s">
        <v>172</v>
      </c>
      <c r="G262" s="150" t="s">
        <v>169</v>
      </c>
      <c r="H262" s="150" t="s">
        <v>170</v>
      </c>
      <c r="I262" s="150" t="str">
        <f>Table1[[#This Row],[Wing]]&amp;-Table1[[#This Row],[Shop No / Office No. / Flat No.]]</f>
        <v>A-1809</v>
      </c>
      <c r="J262" s="151">
        <v>54.05</v>
      </c>
      <c r="K262" s="151">
        <f t="shared" si="7"/>
        <v>581.79419999999993</v>
      </c>
      <c r="L262" s="152">
        <f>Table1[[#This Row],[RERA Carpet Area (Sq. Ft.)]]*1.1</f>
        <v>639.97361999999998</v>
      </c>
      <c r="M262" s="153" t="s">
        <v>167</v>
      </c>
      <c r="N262" s="152" t="s">
        <v>168</v>
      </c>
      <c r="O262" s="152">
        <v>11583000</v>
      </c>
      <c r="P262" s="154">
        <v>694980</v>
      </c>
      <c r="Q262" s="154">
        <f>Table1[[#This Row],[Agreement Value as per  Excel]]-Table1[[#This Row],[Amt Received as per Excel]]</f>
        <v>10888020</v>
      </c>
      <c r="R262" s="155">
        <f t="shared" si="8"/>
        <v>19909.101878293048</v>
      </c>
      <c r="S262" s="160"/>
      <c r="T262" s="161"/>
      <c r="U262" s="157"/>
    </row>
    <row r="263" spans="2:21" x14ac:dyDescent="0.3">
      <c r="B263" s="148">
        <v>236</v>
      </c>
      <c r="C263" s="148" t="s">
        <v>34</v>
      </c>
      <c r="D263" s="149" t="s">
        <v>230</v>
      </c>
      <c r="E263" s="150">
        <v>1810</v>
      </c>
      <c r="F263" s="150" t="s">
        <v>173</v>
      </c>
      <c r="G263" s="150" t="s">
        <v>169</v>
      </c>
      <c r="H263" s="150" t="s">
        <v>170</v>
      </c>
      <c r="I263" s="150" t="str">
        <f>Table1[[#This Row],[Wing]]&amp;-Table1[[#This Row],[Shop No / Office No. / Flat No.]]</f>
        <v>A-1810</v>
      </c>
      <c r="J263" s="151">
        <v>33.01</v>
      </c>
      <c r="K263" s="151">
        <f t="shared" si="7"/>
        <v>355.31963999999994</v>
      </c>
      <c r="L263" s="152">
        <f>Table1[[#This Row],[RERA Carpet Area (Sq. Ft.)]]*1.1</f>
        <v>390.85160399999995</v>
      </c>
      <c r="M263" s="153" t="s">
        <v>211</v>
      </c>
      <c r="N263" s="152" t="s">
        <v>266</v>
      </c>
      <c r="O263" s="152"/>
      <c r="P263" s="154"/>
      <c r="Q263" s="154">
        <f>Table1[[#This Row],[Agreement Value as per  Excel]]-Table1[[#This Row],[Amt Received as per Excel]]</f>
        <v>0</v>
      </c>
      <c r="R263" s="155">
        <f t="shared" si="8"/>
        <v>0</v>
      </c>
      <c r="S263" s="160"/>
      <c r="T263" s="161"/>
      <c r="U263" s="157"/>
    </row>
    <row r="264" spans="2:21" x14ac:dyDescent="0.3">
      <c r="B264" s="148">
        <v>237</v>
      </c>
      <c r="C264" s="148" t="s">
        <v>34</v>
      </c>
      <c r="D264" s="149" t="s">
        <v>231</v>
      </c>
      <c r="E264" s="150">
        <v>1901</v>
      </c>
      <c r="F264" s="150" t="s">
        <v>172</v>
      </c>
      <c r="G264" s="150" t="s">
        <v>169</v>
      </c>
      <c r="H264" s="150" t="s">
        <v>170</v>
      </c>
      <c r="I264" s="150" t="str">
        <f>Table1[[#This Row],[Wing]]&amp;-Table1[[#This Row],[Shop No / Office No. / Flat No.]]</f>
        <v>A-1901</v>
      </c>
      <c r="J264" s="151">
        <v>44.07</v>
      </c>
      <c r="K264" s="151">
        <f t="shared" si="7"/>
        <v>474.36947999999995</v>
      </c>
      <c r="L264" s="152">
        <f>Table1[[#This Row],[RERA Carpet Area (Sq. Ft.)]]*1.1</f>
        <v>521.80642799999998</v>
      </c>
      <c r="M264" s="153" t="s">
        <v>211</v>
      </c>
      <c r="N264" s="152" t="s">
        <v>266</v>
      </c>
      <c r="O264" s="152"/>
      <c r="P264" s="154"/>
      <c r="Q264" s="154">
        <f>Table1[[#This Row],[Agreement Value as per  Excel]]-Table1[[#This Row],[Amt Received as per Excel]]</f>
        <v>0</v>
      </c>
      <c r="R264" s="155">
        <f t="shared" si="8"/>
        <v>0</v>
      </c>
      <c r="S264" s="160"/>
      <c r="T264" s="161"/>
      <c r="U264" s="157"/>
    </row>
    <row r="265" spans="2:21" x14ac:dyDescent="0.3">
      <c r="B265" s="148">
        <v>238</v>
      </c>
      <c r="C265" s="148" t="s">
        <v>34</v>
      </c>
      <c r="D265" s="149" t="s">
        <v>231</v>
      </c>
      <c r="E265" s="150">
        <v>1902</v>
      </c>
      <c r="F265" s="150" t="s">
        <v>172</v>
      </c>
      <c r="G265" s="150" t="s">
        <v>169</v>
      </c>
      <c r="H265" s="150" t="s">
        <v>170</v>
      </c>
      <c r="I265" s="150" t="str">
        <f>Table1[[#This Row],[Wing]]&amp;-Table1[[#This Row],[Shop No / Office No. / Flat No.]]</f>
        <v>A-1902</v>
      </c>
      <c r="J265" s="151">
        <v>44.07</v>
      </c>
      <c r="K265" s="151">
        <f t="shared" si="7"/>
        <v>474.36947999999995</v>
      </c>
      <c r="L265" s="152">
        <f>Table1[[#This Row],[RERA Carpet Area (Sq. Ft.)]]*1.1</f>
        <v>521.80642799999998</v>
      </c>
      <c r="M265" s="153" t="s">
        <v>211</v>
      </c>
      <c r="N265" s="152" t="s">
        <v>266</v>
      </c>
      <c r="O265" s="152"/>
      <c r="P265" s="154"/>
      <c r="Q265" s="154">
        <f>Table1[[#This Row],[Agreement Value as per  Excel]]-Table1[[#This Row],[Amt Received as per Excel]]</f>
        <v>0</v>
      </c>
      <c r="R265" s="155">
        <f t="shared" si="8"/>
        <v>0</v>
      </c>
      <c r="S265" s="160"/>
      <c r="T265" s="161"/>
      <c r="U265" s="157"/>
    </row>
    <row r="266" spans="2:21" hidden="1" x14ac:dyDescent="0.3">
      <c r="B266" s="148">
        <v>239</v>
      </c>
      <c r="C266" s="148" t="s">
        <v>34</v>
      </c>
      <c r="D266" s="149" t="s">
        <v>231</v>
      </c>
      <c r="E266" s="150">
        <v>1903</v>
      </c>
      <c r="F266" s="150" t="s">
        <v>174</v>
      </c>
      <c r="G266" s="150" t="s">
        <v>169</v>
      </c>
      <c r="H266" s="150" t="s">
        <v>166</v>
      </c>
      <c r="I266" s="150" t="str">
        <f>Table1[[#This Row],[Wing]]&amp;-Table1[[#This Row],[Shop No / Office No. / Flat No.]]</f>
        <v>A-1903</v>
      </c>
      <c r="J266" s="151">
        <v>73.91</v>
      </c>
      <c r="K266" s="151">
        <f t="shared" si="7"/>
        <v>795.56723999999997</v>
      </c>
      <c r="L266" s="152">
        <f>Table1[[#This Row],[RERA Carpet Area (Sq. Ft.)]]*1.1</f>
        <v>875.123964</v>
      </c>
      <c r="M266" s="153" t="s">
        <v>167</v>
      </c>
      <c r="N266" s="152" t="s">
        <v>167</v>
      </c>
      <c r="O266" s="152"/>
      <c r="P266" s="154"/>
      <c r="Q266" s="154">
        <f>Table1[[#This Row],[Agreement Value as per  Excel]]-Table1[[#This Row],[Amt Received as per Excel]]</f>
        <v>0</v>
      </c>
      <c r="R266" s="155">
        <f t="shared" si="8"/>
        <v>0</v>
      </c>
      <c r="S266" s="160"/>
      <c r="T266" s="161"/>
      <c r="U266" s="157"/>
    </row>
    <row r="267" spans="2:21" hidden="1" x14ac:dyDescent="0.3">
      <c r="B267" s="148">
        <v>240</v>
      </c>
      <c r="C267" s="148" t="s">
        <v>34</v>
      </c>
      <c r="D267" s="149" t="s">
        <v>231</v>
      </c>
      <c r="E267" s="150">
        <v>1904</v>
      </c>
      <c r="F267" s="150" t="s">
        <v>174</v>
      </c>
      <c r="G267" s="150" t="s">
        <v>169</v>
      </c>
      <c r="H267" s="150" t="s">
        <v>166</v>
      </c>
      <c r="I267" s="150" t="str">
        <f>Table1[[#This Row],[Wing]]&amp;-Table1[[#This Row],[Shop No / Office No. / Flat No.]]</f>
        <v>A-1904</v>
      </c>
      <c r="J267" s="159">
        <v>73.91</v>
      </c>
      <c r="K267" s="151">
        <f t="shared" si="7"/>
        <v>795.56723999999997</v>
      </c>
      <c r="L267" s="152">
        <f>Table1[[#This Row],[RERA Carpet Area (Sq. Ft.)]]*1.1</f>
        <v>875.123964</v>
      </c>
      <c r="M267" s="153" t="s">
        <v>168</v>
      </c>
      <c r="N267" s="152" t="s">
        <v>168</v>
      </c>
      <c r="O267" s="152">
        <v>15457500</v>
      </c>
      <c r="P267" s="154">
        <v>8656000</v>
      </c>
      <c r="Q267" s="154">
        <f>Table1[[#This Row],[Agreement Value as per  Excel]]-Table1[[#This Row],[Amt Received as per Excel]]</f>
        <v>6801500</v>
      </c>
      <c r="R267" s="155">
        <f t="shared" si="8"/>
        <v>19429.53307127126</v>
      </c>
      <c r="S267" s="160"/>
      <c r="T267" s="161"/>
      <c r="U267" s="157"/>
    </row>
    <row r="268" spans="2:21" x14ac:dyDescent="0.3">
      <c r="B268" s="148">
        <v>241</v>
      </c>
      <c r="C268" s="148" t="s">
        <v>34</v>
      </c>
      <c r="D268" s="149" t="s">
        <v>231</v>
      </c>
      <c r="E268" s="150">
        <v>1905</v>
      </c>
      <c r="F268" s="150" t="s">
        <v>172</v>
      </c>
      <c r="G268" s="150" t="s">
        <v>169</v>
      </c>
      <c r="H268" s="150" t="s">
        <v>170</v>
      </c>
      <c r="I268" s="150" t="str">
        <f>Table1[[#This Row],[Wing]]&amp;-Table1[[#This Row],[Shop No / Office No. / Flat No.]]</f>
        <v>A-1905</v>
      </c>
      <c r="J268" s="151">
        <v>44.07</v>
      </c>
      <c r="K268" s="151">
        <f t="shared" si="7"/>
        <v>474.36947999999995</v>
      </c>
      <c r="L268" s="152">
        <f>Table1[[#This Row],[RERA Carpet Area (Sq. Ft.)]]*1.1</f>
        <v>521.80642799999998</v>
      </c>
      <c r="M268" s="153" t="s">
        <v>211</v>
      </c>
      <c r="N268" s="152" t="s">
        <v>266</v>
      </c>
      <c r="O268" s="152"/>
      <c r="P268" s="154"/>
      <c r="Q268" s="154">
        <f>Table1[[#This Row],[Agreement Value as per  Excel]]-Table1[[#This Row],[Amt Received as per Excel]]</f>
        <v>0</v>
      </c>
      <c r="R268" s="155">
        <f t="shared" si="8"/>
        <v>0</v>
      </c>
      <c r="S268" s="160"/>
      <c r="T268" s="161"/>
      <c r="U268" s="157"/>
    </row>
    <row r="269" spans="2:21" x14ac:dyDescent="0.3">
      <c r="B269" s="148">
        <v>242</v>
      </c>
      <c r="C269" s="148" t="s">
        <v>34</v>
      </c>
      <c r="D269" s="149" t="s">
        <v>231</v>
      </c>
      <c r="E269" s="150">
        <v>1906</v>
      </c>
      <c r="F269" s="150" t="s">
        <v>172</v>
      </c>
      <c r="G269" s="150" t="s">
        <v>169</v>
      </c>
      <c r="H269" s="150" t="s">
        <v>170</v>
      </c>
      <c r="I269" s="150" t="str">
        <f>Table1[[#This Row],[Wing]]&amp;-Table1[[#This Row],[Shop No / Office No. / Flat No.]]</f>
        <v>A-1906</v>
      </c>
      <c r="J269" s="151">
        <v>44.13</v>
      </c>
      <c r="K269" s="151">
        <f t="shared" si="7"/>
        <v>475.01531999999997</v>
      </c>
      <c r="L269" s="152">
        <f>Table1[[#This Row],[RERA Carpet Area (Sq. Ft.)]]*1.1</f>
        <v>522.51685199999997</v>
      </c>
      <c r="M269" s="153" t="s">
        <v>211</v>
      </c>
      <c r="N269" s="152" t="s">
        <v>266</v>
      </c>
      <c r="O269" s="152"/>
      <c r="P269" s="154"/>
      <c r="Q269" s="154">
        <f>Table1[[#This Row],[Agreement Value as per  Excel]]-Table1[[#This Row],[Amt Received as per Excel]]</f>
        <v>0</v>
      </c>
      <c r="R269" s="155">
        <f t="shared" si="8"/>
        <v>0</v>
      </c>
      <c r="S269" s="160"/>
      <c r="T269" s="161"/>
      <c r="U269" s="157"/>
    </row>
    <row r="270" spans="2:21" x14ac:dyDescent="0.3">
      <c r="B270" s="148">
        <v>243</v>
      </c>
      <c r="C270" s="148" t="s">
        <v>34</v>
      </c>
      <c r="D270" s="149" t="s">
        <v>231</v>
      </c>
      <c r="E270" s="150">
        <v>1907</v>
      </c>
      <c r="F270" s="150" t="s">
        <v>173</v>
      </c>
      <c r="G270" s="150" t="s">
        <v>169</v>
      </c>
      <c r="H270" s="150" t="s">
        <v>170</v>
      </c>
      <c r="I270" s="150" t="str">
        <f>Table1[[#This Row],[Wing]]&amp;-Table1[[#This Row],[Shop No / Office No. / Flat No.]]</f>
        <v>A-1907</v>
      </c>
      <c r="J270" s="151">
        <v>33.01</v>
      </c>
      <c r="K270" s="151">
        <f t="shared" si="7"/>
        <v>355.31963999999994</v>
      </c>
      <c r="L270" s="152">
        <f>Table1[[#This Row],[RERA Carpet Area (Sq. Ft.)]]*1.1</f>
        <v>390.85160399999995</v>
      </c>
      <c r="M270" s="153" t="s">
        <v>211</v>
      </c>
      <c r="N270" s="152" t="s">
        <v>266</v>
      </c>
      <c r="O270" s="152"/>
      <c r="P270" s="154"/>
      <c r="Q270" s="154">
        <f>Table1[[#This Row],[Agreement Value as per  Excel]]-Table1[[#This Row],[Amt Received as per Excel]]</f>
        <v>0</v>
      </c>
      <c r="R270" s="155">
        <f t="shared" si="8"/>
        <v>0</v>
      </c>
      <c r="S270" s="160"/>
      <c r="T270" s="161"/>
      <c r="U270" s="157"/>
    </row>
    <row r="271" spans="2:21" x14ac:dyDescent="0.3">
      <c r="B271" s="148">
        <v>244</v>
      </c>
      <c r="C271" s="148" t="s">
        <v>34</v>
      </c>
      <c r="D271" s="149" t="s">
        <v>231</v>
      </c>
      <c r="E271" s="150">
        <v>1908</v>
      </c>
      <c r="F271" s="150" t="s">
        <v>172</v>
      </c>
      <c r="G271" s="150" t="s">
        <v>169</v>
      </c>
      <c r="H271" s="150" t="s">
        <v>166</v>
      </c>
      <c r="I271" s="150" t="str">
        <f>Table1[[#This Row],[Wing]]&amp;-Table1[[#This Row],[Shop No / Office No. / Flat No.]]</f>
        <v>A-1908</v>
      </c>
      <c r="J271" s="151">
        <v>54.17</v>
      </c>
      <c r="K271" s="151">
        <f t="shared" si="7"/>
        <v>583.08587999999997</v>
      </c>
      <c r="L271" s="152">
        <f>Table1[[#This Row],[RERA Carpet Area (Sq. Ft.)]]*1.1</f>
        <v>641.39446800000007</v>
      </c>
      <c r="M271" s="153" t="s">
        <v>211</v>
      </c>
      <c r="N271" s="152" t="s">
        <v>266</v>
      </c>
      <c r="O271" s="152"/>
      <c r="P271" s="154"/>
      <c r="Q271" s="154">
        <f>Table1[[#This Row],[Agreement Value as per  Excel]]-Table1[[#This Row],[Amt Received as per Excel]]</f>
        <v>0</v>
      </c>
      <c r="R271" s="155">
        <f t="shared" si="8"/>
        <v>0</v>
      </c>
      <c r="S271" s="160"/>
      <c r="T271" s="161"/>
      <c r="U271" s="157"/>
    </row>
    <row r="272" spans="2:21" hidden="1" x14ac:dyDescent="0.3">
      <c r="B272" s="148">
        <v>245</v>
      </c>
      <c r="C272" s="148" t="s">
        <v>34</v>
      </c>
      <c r="D272" s="149" t="s">
        <v>231</v>
      </c>
      <c r="E272" s="150">
        <v>1909</v>
      </c>
      <c r="F272" s="150" t="s">
        <v>172</v>
      </c>
      <c r="G272" s="150" t="s">
        <v>169</v>
      </c>
      <c r="H272" s="150" t="s">
        <v>166</v>
      </c>
      <c r="I272" s="150" t="str">
        <f>Table1[[#This Row],[Wing]]&amp;-Table1[[#This Row],[Shop No / Office No. / Flat No.]]</f>
        <v>A-1909</v>
      </c>
      <c r="J272" s="159">
        <v>54.05</v>
      </c>
      <c r="K272" s="151">
        <f t="shared" si="7"/>
        <v>581.79419999999993</v>
      </c>
      <c r="L272" s="152">
        <f>Table1[[#This Row],[RERA Carpet Area (Sq. Ft.)]]*1.1</f>
        <v>639.97361999999998</v>
      </c>
      <c r="M272" s="153" t="s">
        <v>168</v>
      </c>
      <c r="N272" s="152" t="s">
        <v>168</v>
      </c>
      <c r="O272" s="152">
        <v>8775000</v>
      </c>
      <c r="P272" s="154">
        <v>5101000</v>
      </c>
      <c r="Q272" s="154">
        <f>Table1[[#This Row],[Agreement Value as per  Excel]]-Table1[[#This Row],[Amt Received as per Excel]]</f>
        <v>3674000</v>
      </c>
      <c r="R272" s="155">
        <f t="shared" si="8"/>
        <v>15082.652938100795</v>
      </c>
      <c r="S272" s="160"/>
      <c r="T272" s="161"/>
      <c r="U272" s="157"/>
    </row>
    <row r="273" spans="2:21" x14ac:dyDescent="0.3">
      <c r="B273" s="148">
        <v>246</v>
      </c>
      <c r="C273" s="148" t="s">
        <v>34</v>
      </c>
      <c r="D273" s="149" t="s">
        <v>231</v>
      </c>
      <c r="E273" s="150">
        <v>1910</v>
      </c>
      <c r="F273" s="150" t="s">
        <v>173</v>
      </c>
      <c r="G273" s="150" t="s">
        <v>169</v>
      </c>
      <c r="H273" s="150" t="s">
        <v>170</v>
      </c>
      <c r="I273" s="150" t="str">
        <f>Table1[[#This Row],[Wing]]&amp;-Table1[[#This Row],[Shop No / Office No. / Flat No.]]</f>
        <v>A-1910</v>
      </c>
      <c r="J273" s="151">
        <v>33.01</v>
      </c>
      <c r="K273" s="151">
        <f t="shared" si="7"/>
        <v>355.31963999999994</v>
      </c>
      <c r="L273" s="152">
        <f>Table1[[#This Row],[RERA Carpet Area (Sq. Ft.)]]*1.1</f>
        <v>390.85160399999995</v>
      </c>
      <c r="M273" s="153" t="s">
        <v>211</v>
      </c>
      <c r="N273" s="152" t="s">
        <v>266</v>
      </c>
      <c r="O273" s="152"/>
      <c r="P273" s="154"/>
      <c r="Q273" s="154">
        <f>Table1[[#This Row],[Agreement Value as per  Excel]]-Table1[[#This Row],[Amt Received as per Excel]]</f>
        <v>0</v>
      </c>
      <c r="R273" s="155">
        <f t="shared" si="8"/>
        <v>0</v>
      </c>
      <c r="S273" s="160"/>
      <c r="T273" s="161"/>
      <c r="U273" s="157"/>
    </row>
    <row r="274" spans="2:21" hidden="1" x14ac:dyDescent="0.3">
      <c r="B274" s="148">
        <v>247</v>
      </c>
      <c r="C274" s="148" t="s">
        <v>34</v>
      </c>
      <c r="D274" s="149" t="s">
        <v>232</v>
      </c>
      <c r="E274" s="150">
        <v>2001</v>
      </c>
      <c r="F274" s="150" t="s">
        <v>53</v>
      </c>
      <c r="G274" s="150" t="s">
        <v>169</v>
      </c>
      <c r="H274" s="150" t="s">
        <v>170</v>
      </c>
      <c r="I274" s="150" t="str">
        <f>Table1[[#This Row],[Wing]]&amp;-Table1[[#This Row],[Shop No / Office No. / Flat No.]]</f>
        <v>A-2001</v>
      </c>
      <c r="J274" s="151">
        <v>0</v>
      </c>
      <c r="K274" s="151">
        <f t="shared" si="7"/>
        <v>0</v>
      </c>
      <c r="L274" s="152">
        <f>Table1[[#This Row],[RERA Carpet Area (Sq. Ft.)]]*1.1</f>
        <v>0</v>
      </c>
      <c r="M274" s="153" t="s">
        <v>53</v>
      </c>
      <c r="N274" s="152" t="s">
        <v>53</v>
      </c>
      <c r="O274" s="152"/>
      <c r="P274" s="154"/>
      <c r="Q274" s="154">
        <f>Table1[[#This Row],[Agreement Value as per  Excel]]-Table1[[#This Row],[Amt Received as per Excel]]</f>
        <v>0</v>
      </c>
      <c r="R274" s="155">
        <f t="shared" si="8"/>
        <v>0</v>
      </c>
      <c r="S274" s="160"/>
      <c r="T274" s="161"/>
      <c r="U274" s="157"/>
    </row>
    <row r="275" spans="2:21" hidden="1" x14ac:dyDescent="0.3">
      <c r="B275" s="148">
        <v>248</v>
      </c>
      <c r="C275" s="148" t="s">
        <v>34</v>
      </c>
      <c r="D275" s="149" t="s">
        <v>232</v>
      </c>
      <c r="E275" s="150">
        <v>2002</v>
      </c>
      <c r="F275" s="150" t="s">
        <v>53</v>
      </c>
      <c r="G275" s="150" t="s">
        <v>169</v>
      </c>
      <c r="H275" s="150" t="s">
        <v>170</v>
      </c>
      <c r="I275" s="150" t="str">
        <f>Table1[[#This Row],[Wing]]&amp;-Table1[[#This Row],[Shop No / Office No. / Flat No.]]</f>
        <v>A-2002</v>
      </c>
      <c r="J275" s="151">
        <v>0</v>
      </c>
      <c r="K275" s="151">
        <f t="shared" si="7"/>
        <v>0</v>
      </c>
      <c r="L275" s="152">
        <f>Table1[[#This Row],[RERA Carpet Area (Sq. Ft.)]]*1.1</f>
        <v>0</v>
      </c>
      <c r="M275" s="153" t="s">
        <v>53</v>
      </c>
      <c r="N275" s="152" t="s">
        <v>53</v>
      </c>
      <c r="O275" s="152"/>
      <c r="P275" s="154"/>
      <c r="Q275" s="154">
        <f>Table1[[#This Row],[Agreement Value as per  Excel]]-Table1[[#This Row],[Amt Received as per Excel]]</f>
        <v>0</v>
      </c>
      <c r="R275" s="155">
        <f t="shared" si="8"/>
        <v>0</v>
      </c>
      <c r="S275" s="160"/>
      <c r="T275" s="161"/>
      <c r="U275" s="157"/>
    </row>
    <row r="276" spans="2:21" hidden="1" x14ac:dyDescent="0.3">
      <c r="B276" s="148">
        <v>249</v>
      </c>
      <c r="C276" s="148" t="s">
        <v>34</v>
      </c>
      <c r="D276" s="149" t="s">
        <v>232</v>
      </c>
      <c r="E276" s="150">
        <v>2003</v>
      </c>
      <c r="F276" s="150" t="s">
        <v>53</v>
      </c>
      <c r="G276" s="150" t="s">
        <v>169</v>
      </c>
      <c r="H276" s="150" t="s">
        <v>166</v>
      </c>
      <c r="I276" s="150" t="str">
        <f>Table1[[#This Row],[Wing]]&amp;-Table1[[#This Row],[Shop No / Office No. / Flat No.]]</f>
        <v>A-2003</v>
      </c>
      <c r="J276" s="151">
        <v>0</v>
      </c>
      <c r="K276" s="151">
        <f t="shared" si="7"/>
        <v>0</v>
      </c>
      <c r="L276" s="152">
        <f>Table1[[#This Row],[RERA Carpet Area (Sq. Ft.)]]*1.1</f>
        <v>0</v>
      </c>
      <c r="M276" s="153" t="s">
        <v>53</v>
      </c>
      <c r="N276" s="152" t="s">
        <v>53</v>
      </c>
      <c r="O276" s="152"/>
      <c r="P276" s="154"/>
      <c r="Q276" s="154">
        <f>Table1[[#This Row],[Agreement Value as per  Excel]]-Table1[[#This Row],[Amt Received as per Excel]]</f>
        <v>0</v>
      </c>
      <c r="R276" s="155">
        <f t="shared" si="8"/>
        <v>0</v>
      </c>
      <c r="S276" s="160"/>
      <c r="T276" s="161"/>
      <c r="U276" s="157"/>
    </row>
    <row r="277" spans="2:21" hidden="1" x14ac:dyDescent="0.3">
      <c r="B277" s="148">
        <v>250</v>
      </c>
      <c r="C277" s="148" t="s">
        <v>34</v>
      </c>
      <c r="D277" s="149" t="s">
        <v>232</v>
      </c>
      <c r="E277" s="150">
        <v>2004</v>
      </c>
      <c r="F277" s="150" t="s">
        <v>53</v>
      </c>
      <c r="G277" s="150" t="s">
        <v>169</v>
      </c>
      <c r="H277" s="150" t="s">
        <v>166</v>
      </c>
      <c r="I277" s="150" t="str">
        <f>Table1[[#This Row],[Wing]]&amp;-Table1[[#This Row],[Shop No / Office No. / Flat No.]]</f>
        <v>A-2004</v>
      </c>
      <c r="J277" s="151">
        <v>0</v>
      </c>
      <c r="K277" s="151">
        <f t="shared" si="7"/>
        <v>0</v>
      </c>
      <c r="L277" s="152">
        <f>Table1[[#This Row],[RERA Carpet Area (Sq. Ft.)]]*1.1</f>
        <v>0</v>
      </c>
      <c r="M277" s="153" t="s">
        <v>53</v>
      </c>
      <c r="N277" s="152" t="s">
        <v>53</v>
      </c>
      <c r="O277" s="152"/>
      <c r="P277" s="154"/>
      <c r="Q277" s="154">
        <f>Table1[[#This Row],[Agreement Value as per  Excel]]-Table1[[#This Row],[Amt Received as per Excel]]</f>
        <v>0</v>
      </c>
      <c r="R277" s="155">
        <f t="shared" si="8"/>
        <v>0</v>
      </c>
      <c r="S277" s="160"/>
      <c r="T277" s="161"/>
      <c r="U277" s="157"/>
    </row>
    <row r="278" spans="2:21" hidden="1" x14ac:dyDescent="0.3">
      <c r="B278" s="148">
        <v>251</v>
      </c>
      <c r="C278" s="148" t="s">
        <v>34</v>
      </c>
      <c r="D278" s="149" t="s">
        <v>232</v>
      </c>
      <c r="E278" s="150">
        <v>2005</v>
      </c>
      <c r="F278" s="150" t="s">
        <v>53</v>
      </c>
      <c r="G278" s="150" t="s">
        <v>169</v>
      </c>
      <c r="H278" s="150" t="s">
        <v>170</v>
      </c>
      <c r="I278" s="150" t="str">
        <f>Table1[[#This Row],[Wing]]&amp;-Table1[[#This Row],[Shop No / Office No. / Flat No.]]</f>
        <v>A-2005</v>
      </c>
      <c r="J278" s="151">
        <v>0</v>
      </c>
      <c r="K278" s="151">
        <f t="shared" si="7"/>
        <v>0</v>
      </c>
      <c r="L278" s="152">
        <f>Table1[[#This Row],[RERA Carpet Area (Sq. Ft.)]]*1.1</f>
        <v>0</v>
      </c>
      <c r="M278" s="153" t="s">
        <v>53</v>
      </c>
      <c r="N278" s="152" t="s">
        <v>53</v>
      </c>
      <c r="O278" s="152"/>
      <c r="P278" s="154"/>
      <c r="Q278" s="154">
        <f>Table1[[#This Row],[Agreement Value as per  Excel]]-Table1[[#This Row],[Amt Received as per Excel]]</f>
        <v>0</v>
      </c>
      <c r="R278" s="155">
        <f t="shared" si="8"/>
        <v>0</v>
      </c>
      <c r="S278" s="160"/>
      <c r="T278" s="161"/>
      <c r="U278" s="157"/>
    </row>
    <row r="279" spans="2:21" hidden="1" x14ac:dyDescent="0.3">
      <c r="B279" s="148">
        <v>252</v>
      </c>
      <c r="C279" s="148" t="s">
        <v>34</v>
      </c>
      <c r="D279" s="149" t="s">
        <v>232</v>
      </c>
      <c r="E279" s="150">
        <v>2006</v>
      </c>
      <c r="F279" s="150" t="s">
        <v>53</v>
      </c>
      <c r="G279" s="150" t="s">
        <v>169</v>
      </c>
      <c r="H279" s="150" t="s">
        <v>170</v>
      </c>
      <c r="I279" s="150" t="str">
        <f>Table1[[#This Row],[Wing]]&amp;-Table1[[#This Row],[Shop No / Office No. / Flat No.]]</f>
        <v>A-2006</v>
      </c>
      <c r="J279" s="151">
        <v>0</v>
      </c>
      <c r="K279" s="151">
        <f t="shared" si="7"/>
        <v>0</v>
      </c>
      <c r="L279" s="152">
        <f>Table1[[#This Row],[RERA Carpet Area (Sq. Ft.)]]*1.1</f>
        <v>0</v>
      </c>
      <c r="M279" s="153" t="s">
        <v>53</v>
      </c>
      <c r="N279" s="152" t="s">
        <v>53</v>
      </c>
      <c r="O279" s="152"/>
      <c r="P279" s="154"/>
      <c r="Q279" s="154">
        <f>Table1[[#This Row],[Agreement Value as per  Excel]]-Table1[[#This Row],[Amt Received as per Excel]]</f>
        <v>0</v>
      </c>
      <c r="R279" s="155">
        <f t="shared" si="8"/>
        <v>0</v>
      </c>
      <c r="S279" s="160"/>
      <c r="T279" s="161"/>
      <c r="U279" s="157"/>
    </row>
    <row r="280" spans="2:21" hidden="1" x14ac:dyDescent="0.3">
      <c r="B280" s="148">
        <v>253</v>
      </c>
      <c r="C280" s="148" t="s">
        <v>34</v>
      </c>
      <c r="D280" s="149" t="s">
        <v>232</v>
      </c>
      <c r="E280" s="150">
        <v>2007</v>
      </c>
      <c r="F280" s="150" t="s">
        <v>53</v>
      </c>
      <c r="G280" s="150" t="s">
        <v>169</v>
      </c>
      <c r="H280" s="150" t="s">
        <v>170</v>
      </c>
      <c r="I280" s="150" t="str">
        <f>Table1[[#This Row],[Wing]]&amp;-Table1[[#This Row],[Shop No / Office No. / Flat No.]]</f>
        <v>A-2007</v>
      </c>
      <c r="J280" s="151">
        <v>0</v>
      </c>
      <c r="K280" s="151">
        <f t="shared" si="7"/>
        <v>0</v>
      </c>
      <c r="L280" s="152">
        <f>Table1[[#This Row],[RERA Carpet Area (Sq. Ft.)]]*1.1</f>
        <v>0</v>
      </c>
      <c r="M280" s="153" t="s">
        <v>53</v>
      </c>
      <c r="N280" s="152" t="s">
        <v>53</v>
      </c>
      <c r="O280" s="152"/>
      <c r="P280" s="154"/>
      <c r="Q280" s="154">
        <f>Table1[[#This Row],[Agreement Value as per  Excel]]-Table1[[#This Row],[Amt Received as per Excel]]</f>
        <v>0</v>
      </c>
      <c r="R280" s="155">
        <f t="shared" si="8"/>
        <v>0</v>
      </c>
      <c r="S280" s="160"/>
      <c r="T280" s="161"/>
      <c r="U280" s="157"/>
    </row>
    <row r="281" spans="2:21" hidden="1" x14ac:dyDescent="0.3">
      <c r="B281" s="148">
        <v>254</v>
      </c>
      <c r="C281" s="148" t="s">
        <v>34</v>
      </c>
      <c r="D281" s="149" t="s">
        <v>232</v>
      </c>
      <c r="E281" s="150">
        <v>2008</v>
      </c>
      <c r="F281" s="150" t="s">
        <v>53</v>
      </c>
      <c r="G281" s="150" t="s">
        <v>169</v>
      </c>
      <c r="H281" s="150" t="s">
        <v>166</v>
      </c>
      <c r="I281" s="150" t="str">
        <f>Table1[[#This Row],[Wing]]&amp;-Table1[[#This Row],[Shop No / Office No. / Flat No.]]</f>
        <v>A-2008</v>
      </c>
      <c r="J281" s="151">
        <v>0</v>
      </c>
      <c r="K281" s="151">
        <f t="shared" si="7"/>
        <v>0</v>
      </c>
      <c r="L281" s="152">
        <f>Table1[[#This Row],[RERA Carpet Area (Sq. Ft.)]]*1.1</f>
        <v>0</v>
      </c>
      <c r="M281" s="153" t="s">
        <v>53</v>
      </c>
      <c r="N281" s="152" t="s">
        <v>53</v>
      </c>
      <c r="O281" s="152"/>
      <c r="P281" s="154"/>
      <c r="Q281" s="154">
        <f>Table1[[#This Row],[Agreement Value as per  Excel]]-Table1[[#This Row],[Amt Received as per Excel]]</f>
        <v>0</v>
      </c>
      <c r="R281" s="155">
        <f t="shared" si="8"/>
        <v>0</v>
      </c>
      <c r="S281" s="160"/>
      <c r="T281" s="161"/>
      <c r="U281" s="157"/>
    </row>
    <row r="282" spans="2:21" hidden="1" x14ac:dyDescent="0.3">
      <c r="B282" s="148">
        <v>255</v>
      </c>
      <c r="C282" s="148" t="s">
        <v>34</v>
      </c>
      <c r="D282" s="149" t="s">
        <v>232</v>
      </c>
      <c r="E282" s="150">
        <v>2009</v>
      </c>
      <c r="F282" s="150" t="s">
        <v>172</v>
      </c>
      <c r="G282" s="150" t="s">
        <v>169</v>
      </c>
      <c r="H282" s="150" t="s">
        <v>166</v>
      </c>
      <c r="I282" s="150" t="str">
        <f>Table1[[#This Row],[Wing]]&amp;-Table1[[#This Row],[Shop No / Office No. / Flat No.]]</f>
        <v>A-2009</v>
      </c>
      <c r="J282" s="151">
        <v>54.05</v>
      </c>
      <c r="K282" s="151">
        <f t="shared" si="7"/>
        <v>581.79419999999993</v>
      </c>
      <c r="L282" s="152">
        <f>Table1[[#This Row],[RERA Carpet Area (Sq. Ft.)]]*1.1</f>
        <v>639.97361999999998</v>
      </c>
      <c r="M282" s="153" t="s">
        <v>168</v>
      </c>
      <c r="N282" s="152" t="s">
        <v>168</v>
      </c>
      <c r="O282" s="152">
        <v>12285000</v>
      </c>
      <c r="P282" s="154">
        <v>7173383</v>
      </c>
      <c r="Q282" s="154">
        <f>Table1[[#This Row],[Agreement Value as per  Excel]]-Table1[[#This Row],[Amt Received as per Excel]]</f>
        <v>5111617</v>
      </c>
      <c r="R282" s="155">
        <f t="shared" si="8"/>
        <v>21115.714113341113</v>
      </c>
      <c r="S282" s="160"/>
      <c r="T282" s="161"/>
      <c r="U282" s="157"/>
    </row>
    <row r="283" spans="2:21" x14ac:dyDescent="0.3">
      <c r="B283" s="148">
        <v>256</v>
      </c>
      <c r="C283" s="148" t="s">
        <v>34</v>
      </c>
      <c r="D283" s="149" t="s">
        <v>232</v>
      </c>
      <c r="E283" s="150">
        <v>2010</v>
      </c>
      <c r="F283" s="150" t="s">
        <v>173</v>
      </c>
      <c r="G283" s="150" t="s">
        <v>169</v>
      </c>
      <c r="H283" s="150" t="s">
        <v>170</v>
      </c>
      <c r="I283" s="150" t="str">
        <f>Table1[[#This Row],[Wing]]&amp;-Table1[[#This Row],[Shop No / Office No. / Flat No.]]</f>
        <v>A-2010</v>
      </c>
      <c r="J283" s="151">
        <v>33.01</v>
      </c>
      <c r="K283" s="151">
        <f t="shared" si="7"/>
        <v>355.31963999999994</v>
      </c>
      <c r="L283" s="152">
        <f>Table1[[#This Row],[RERA Carpet Area (Sq. Ft.)]]*1.1</f>
        <v>390.85160399999995</v>
      </c>
      <c r="M283" s="153" t="s">
        <v>211</v>
      </c>
      <c r="N283" s="152" t="s">
        <v>265</v>
      </c>
      <c r="O283" s="267">
        <v>1054550</v>
      </c>
      <c r="P283" s="268">
        <v>316365</v>
      </c>
      <c r="Q283" s="154">
        <f>Table1[[#This Row],[Agreement Value as per  Excel]]-Table1[[#This Row],[Amt Received as per Excel]]</f>
        <v>738185</v>
      </c>
      <c r="R283" s="155">
        <f t="shared" si="8"/>
        <v>2967.8911078486972</v>
      </c>
      <c r="S283" s="160"/>
      <c r="T283" s="161"/>
      <c r="U283" s="157"/>
    </row>
    <row r="284" spans="2:21" x14ac:dyDescent="0.3">
      <c r="B284" s="148">
        <v>267</v>
      </c>
      <c r="C284" s="148" t="s">
        <v>35</v>
      </c>
      <c r="D284" s="149" t="s">
        <v>213</v>
      </c>
      <c r="E284" s="150">
        <v>101</v>
      </c>
      <c r="F284" s="150" t="s">
        <v>253</v>
      </c>
      <c r="G284" s="150" t="s">
        <v>169</v>
      </c>
      <c r="H284" s="150" t="s">
        <v>170</v>
      </c>
      <c r="I284" s="150" t="str">
        <f>Table1[[#This Row],[Wing]]&amp;-Table1[[#This Row],[Shop No / Office No. / Flat No.]]</f>
        <v>B-101</v>
      </c>
      <c r="J284" s="151">
        <v>33.159999999999997</v>
      </c>
      <c r="K284" s="151">
        <f t="shared" si="7"/>
        <v>356.93423999999993</v>
      </c>
      <c r="L284" s="152">
        <f>Table1[[#This Row],[RERA Carpet Area (Sq. Ft.)]]*1.1</f>
        <v>392.62766399999998</v>
      </c>
      <c r="M284" s="153" t="s">
        <v>211</v>
      </c>
      <c r="N284" s="152" t="s">
        <v>266</v>
      </c>
      <c r="O284" s="152"/>
      <c r="P284" s="154"/>
      <c r="Q284" s="154">
        <f>Table1[[#This Row],[Agreement Value as per  Excel]]-Table1[[#This Row],[Amt Received as per Excel]]</f>
        <v>0</v>
      </c>
      <c r="R284" s="155">
        <f t="shared" si="8"/>
        <v>0</v>
      </c>
      <c r="S284" s="160"/>
      <c r="T284" s="161"/>
      <c r="U284" s="157"/>
    </row>
    <row r="285" spans="2:21" hidden="1" x14ac:dyDescent="0.3">
      <c r="B285" s="148">
        <v>268</v>
      </c>
      <c r="C285" s="148" t="s">
        <v>35</v>
      </c>
      <c r="D285" s="149" t="s">
        <v>213</v>
      </c>
      <c r="E285" s="150">
        <v>102</v>
      </c>
      <c r="F285" s="150" t="s">
        <v>251</v>
      </c>
      <c r="G285" s="150" t="s">
        <v>169</v>
      </c>
      <c r="H285" s="150" t="s">
        <v>170</v>
      </c>
      <c r="I285" s="150" t="str">
        <f>Table1[[#This Row],[Wing]]&amp;-Table1[[#This Row],[Shop No / Office No. / Flat No.]]</f>
        <v>B-102</v>
      </c>
      <c r="J285" s="151">
        <v>56.33</v>
      </c>
      <c r="K285" s="151">
        <f t="shared" si="7"/>
        <v>606.33611999999994</v>
      </c>
      <c r="L285" s="152">
        <f>Table1[[#This Row],[RERA Carpet Area (Sq. Ft.)]]*1.1</f>
        <v>666.96973200000002</v>
      </c>
      <c r="M285" s="153" t="s">
        <v>211</v>
      </c>
      <c r="N285" s="152" t="s">
        <v>167</v>
      </c>
      <c r="O285" s="152"/>
      <c r="P285" s="154"/>
      <c r="Q285" s="154">
        <f>Table1[[#This Row],[Agreement Value as per  Excel]]-Table1[[#This Row],[Amt Received as per Excel]]</f>
        <v>0</v>
      </c>
      <c r="R285" s="155">
        <f t="shared" si="8"/>
        <v>0</v>
      </c>
      <c r="S285" s="160"/>
      <c r="T285" s="161"/>
      <c r="U285" s="157"/>
    </row>
    <row r="286" spans="2:21" x14ac:dyDescent="0.3">
      <c r="B286" s="148">
        <v>269</v>
      </c>
      <c r="C286" s="148" t="s">
        <v>35</v>
      </c>
      <c r="D286" s="149" t="s">
        <v>213</v>
      </c>
      <c r="E286" s="150">
        <v>103</v>
      </c>
      <c r="F286" s="150" t="s">
        <v>251</v>
      </c>
      <c r="G286" s="150" t="s">
        <v>169</v>
      </c>
      <c r="H286" s="150" t="s">
        <v>170</v>
      </c>
      <c r="I286" s="150" t="str">
        <f>Table1[[#This Row],[Wing]]&amp;-Table1[[#This Row],[Shop No / Office No. / Flat No.]]</f>
        <v>B-103</v>
      </c>
      <c r="J286" s="151">
        <v>56.33</v>
      </c>
      <c r="K286" s="151">
        <f t="shared" si="7"/>
        <v>606.33611999999994</v>
      </c>
      <c r="L286" s="152">
        <f>Table1[[#This Row],[RERA Carpet Area (Sq. Ft.)]]*1.1</f>
        <v>666.96973200000002</v>
      </c>
      <c r="M286" s="153" t="s">
        <v>211</v>
      </c>
      <c r="N286" s="152" t="s">
        <v>265</v>
      </c>
      <c r="O286" s="267">
        <v>2238500</v>
      </c>
      <c r="P286" s="268">
        <v>2238500</v>
      </c>
      <c r="Q286" s="154">
        <f>Table1[[#This Row],[Agreement Value as per  Excel]]-Table1[[#This Row],[Amt Received as per Excel]]</f>
        <v>0</v>
      </c>
      <c r="R286" s="155">
        <f t="shared" si="8"/>
        <v>3691.8466938766574</v>
      </c>
      <c r="S286" s="160"/>
      <c r="T286" s="161"/>
      <c r="U286" s="157"/>
    </row>
    <row r="287" spans="2:21" x14ac:dyDescent="0.3">
      <c r="B287" s="148">
        <v>270</v>
      </c>
      <c r="C287" s="148" t="s">
        <v>35</v>
      </c>
      <c r="D287" s="149" t="s">
        <v>213</v>
      </c>
      <c r="E287" s="150">
        <v>104</v>
      </c>
      <c r="F287" s="150" t="s">
        <v>253</v>
      </c>
      <c r="G287" s="150" t="s">
        <v>169</v>
      </c>
      <c r="H287" s="150" t="s">
        <v>170</v>
      </c>
      <c r="I287" s="150" t="str">
        <f>Table1[[#This Row],[Wing]]&amp;-Table1[[#This Row],[Shop No / Office No. / Flat No.]]</f>
        <v>B-104</v>
      </c>
      <c r="J287" s="151">
        <v>33.159999999999997</v>
      </c>
      <c r="K287" s="151">
        <f t="shared" si="7"/>
        <v>356.93423999999993</v>
      </c>
      <c r="L287" s="152">
        <f>Table1[[#This Row],[RERA Carpet Area (Sq. Ft.)]]*1.1</f>
        <v>392.62766399999998</v>
      </c>
      <c r="M287" s="153" t="s">
        <v>211</v>
      </c>
      <c r="N287" s="152" t="s">
        <v>266</v>
      </c>
      <c r="O287" s="152"/>
      <c r="P287" s="154"/>
      <c r="Q287" s="154">
        <f>Table1[[#This Row],[Agreement Value as per  Excel]]-Table1[[#This Row],[Amt Received as per Excel]]</f>
        <v>0</v>
      </c>
      <c r="R287" s="155">
        <f t="shared" si="8"/>
        <v>0</v>
      </c>
      <c r="S287" s="160"/>
      <c r="T287" s="161"/>
      <c r="U287" s="157"/>
    </row>
    <row r="288" spans="2:21" hidden="1" x14ac:dyDescent="0.3">
      <c r="B288" s="148">
        <v>271</v>
      </c>
      <c r="C288" s="148" t="s">
        <v>35</v>
      </c>
      <c r="D288" s="149" t="s">
        <v>213</v>
      </c>
      <c r="E288" s="150">
        <v>105</v>
      </c>
      <c r="F288" s="150" t="s">
        <v>253</v>
      </c>
      <c r="G288" s="150" t="s">
        <v>169</v>
      </c>
      <c r="H288" s="150" t="s">
        <v>166</v>
      </c>
      <c r="I288" s="150" t="str">
        <f>Table1[[#This Row],[Wing]]&amp;-Table1[[#This Row],[Shop No / Office No. / Flat No.]]</f>
        <v>B-105</v>
      </c>
      <c r="J288" s="151">
        <v>33.44</v>
      </c>
      <c r="K288" s="151">
        <f t="shared" ref="K288:K351" si="9">IFERROR(J288*10.764,0)</f>
        <v>359.94815999999997</v>
      </c>
      <c r="L288" s="152">
        <f>Table1[[#This Row],[RERA Carpet Area (Sq. Ft.)]]*1.1</f>
        <v>395.94297599999999</v>
      </c>
      <c r="M288" s="153" t="s">
        <v>167</v>
      </c>
      <c r="N288" s="152" t="s">
        <v>167</v>
      </c>
      <c r="O288" s="152"/>
      <c r="P288" s="154"/>
      <c r="Q288" s="154">
        <f>Table1[[#This Row],[Agreement Value as per  Excel]]-Table1[[#This Row],[Amt Received as per Excel]]</f>
        <v>0</v>
      </c>
      <c r="R288" s="155">
        <f t="shared" si="8"/>
        <v>0</v>
      </c>
      <c r="S288" s="160"/>
      <c r="T288" s="161"/>
      <c r="U288" s="157"/>
    </row>
    <row r="289" spans="2:21" hidden="1" x14ac:dyDescent="0.3">
      <c r="B289" s="148">
        <v>272</v>
      </c>
      <c r="C289" s="148" t="s">
        <v>35</v>
      </c>
      <c r="D289" s="149" t="s">
        <v>213</v>
      </c>
      <c r="E289" s="150">
        <v>106</v>
      </c>
      <c r="F289" s="150" t="s">
        <v>253</v>
      </c>
      <c r="G289" s="150" t="s">
        <v>169</v>
      </c>
      <c r="H289" s="150" t="s">
        <v>166</v>
      </c>
      <c r="I289" s="150" t="str">
        <f>Table1[[#This Row],[Wing]]&amp;-Table1[[#This Row],[Shop No / Office No. / Flat No.]]</f>
        <v>B-106</v>
      </c>
      <c r="J289" s="159">
        <v>33.44</v>
      </c>
      <c r="K289" s="151">
        <f t="shared" si="9"/>
        <v>359.94815999999997</v>
      </c>
      <c r="L289" s="152">
        <f>Table1[[#This Row],[RERA Carpet Area (Sq. Ft.)]]*1.1</f>
        <v>395.94297599999999</v>
      </c>
      <c r="M289" s="153" t="s">
        <v>168</v>
      </c>
      <c r="N289" s="152" t="s">
        <v>168</v>
      </c>
      <c r="O289" s="152">
        <v>9282500</v>
      </c>
      <c r="P289" s="154">
        <v>6000000</v>
      </c>
      <c r="Q289" s="154">
        <f>Table1[[#This Row],[Agreement Value as per  Excel]]-Table1[[#This Row],[Amt Received as per Excel]]</f>
        <v>3282500</v>
      </c>
      <c r="R289" s="155">
        <f t="shared" si="8"/>
        <v>25788.435756971227</v>
      </c>
      <c r="S289" s="160"/>
      <c r="T289" s="161"/>
      <c r="U289" s="157"/>
    </row>
    <row r="290" spans="2:21" hidden="1" x14ac:dyDescent="0.3">
      <c r="B290" s="148">
        <v>273</v>
      </c>
      <c r="C290" s="148" t="s">
        <v>35</v>
      </c>
      <c r="D290" s="149" t="s">
        <v>213</v>
      </c>
      <c r="E290" s="150">
        <v>107</v>
      </c>
      <c r="F290" s="150" t="s">
        <v>252</v>
      </c>
      <c r="G290" s="150" t="s">
        <v>252</v>
      </c>
      <c r="H290" s="150" t="s">
        <v>252</v>
      </c>
      <c r="I290" s="150" t="str">
        <f>Table1[[#This Row],[Wing]]&amp;-Table1[[#This Row],[Shop No / Office No. / Flat No.]]</f>
        <v>B-107</v>
      </c>
      <c r="J290" s="173">
        <v>0</v>
      </c>
      <c r="K290" s="151">
        <f t="shared" si="9"/>
        <v>0</v>
      </c>
      <c r="L290" s="152">
        <f>Table1[[#This Row],[RERA Carpet Area (Sq. Ft.)]]*1.1</f>
        <v>0</v>
      </c>
      <c r="M290" s="150" t="s">
        <v>171</v>
      </c>
      <c r="N290" s="152" t="s">
        <v>264</v>
      </c>
      <c r="O290" s="152"/>
      <c r="P290" s="174"/>
      <c r="Q290" s="154">
        <f>Table1[[#This Row],[Agreement Value as per  Excel]]-Table1[[#This Row],[Amt Received as per Excel]]</f>
        <v>0</v>
      </c>
      <c r="R290" s="155">
        <f t="shared" si="8"/>
        <v>0</v>
      </c>
      <c r="S290" s="160"/>
      <c r="T290" s="161"/>
      <c r="U290" s="157"/>
    </row>
    <row r="291" spans="2:21" hidden="1" x14ac:dyDescent="0.3">
      <c r="B291" s="148">
        <v>274</v>
      </c>
      <c r="C291" s="148" t="s">
        <v>35</v>
      </c>
      <c r="D291" s="149" t="s">
        <v>213</v>
      </c>
      <c r="E291" s="150">
        <v>108</v>
      </c>
      <c r="F291" s="150" t="s">
        <v>252</v>
      </c>
      <c r="G291" s="150" t="s">
        <v>252</v>
      </c>
      <c r="H291" s="150" t="s">
        <v>252</v>
      </c>
      <c r="I291" s="150" t="str">
        <f>Table1[[#This Row],[Wing]]&amp;-Table1[[#This Row],[Shop No / Office No. / Flat No.]]</f>
        <v>B-108</v>
      </c>
      <c r="J291" s="173">
        <v>0</v>
      </c>
      <c r="K291" s="151">
        <f t="shared" si="9"/>
        <v>0</v>
      </c>
      <c r="L291" s="152">
        <f>Table1[[#This Row],[RERA Carpet Area (Sq. Ft.)]]*1.1</f>
        <v>0</v>
      </c>
      <c r="M291" s="150" t="s">
        <v>171</v>
      </c>
      <c r="N291" s="152" t="s">
        <v>264</v>
      </c>
      <c r="O291" s="152"/>
      <c r="P291" s="174"/>
      <c r="Q291" s="154">
        <f>Table1[[#This Row],[Agreement Value as per  Excel]]-Table1[[#This Row],[Amt Received as per Excel]]</f>
        <v>0</v>
      </c>
      <c r="R291" s="155">
        <f t="shared" si="8"/>
        <v>0</v>
      </c>
      <c r="S291" s="160"/>
      <c r="T291" s="161"/>
      <c r="U291" s="157"/>
    </row>
    <row r="292" spans="2:21" x14ac:dyDescent="0.3">
      <c r="B292" s="148">
        <v>275</v>
      </c>
      <c r="C292" s="148" t="s">
        <v>35</v>
      </c>
      <c r="D292" s="149" t="s">
        <v>213</v>
      </c>
      <c r="E292" s="150">
        <v>109</v>
      </c>
      <c r="F292" s="150" t="s">
        <v>251</v>
      </c>
      <c r="G292" s="150" t="s">
        <v>169</v>
      </c>
      <c r="H292" s="150" t="s">
        <v>170</v>
      </c>
      <c r="I292" s="150" t="str">
        <f>Table1[[#This Row],[Wing]]&amp;-Table1[[#This Row],[Shop No / Office No. / Flat No.]]</f>
        <v>B-109</v>
      </c>
      <c r="J292" s="173">
        <v>45.02</v>
      </c>
      <c r="K292" s="151">
        <f t="shared" si="9"/>
        <v>484.59528</v>
      </c>
      <c r="L292" s="152">
        <f>Table1[[#This Row],[RERA Carpet Area (Sq. Ft.)]]*1.1</f>
        <v>533.05480800000009</v>
      </c>
      <c r="M292" s="153" t="s">
        <v>167</v>
      </c>
      <c r="N292" s="152" t="s">
        <v>266</v>
      </c>
      <c r="O292" s="152"/>
      <c r="P292" s="174"/>
      <c r="Q292" s="154">
        <f>Table1[[#This Row],[Agreement Value as per  Excel]]-Table1[[#This Row],[Amt Received as per Excel]]</f>
        <v>0</v>
      </c>
      <c r="R292" s="155">
        <f t="shared" si="8"/>
        <v>0</v>
      </c>
      <c r="S292" s="160"/>
      <c r="T292" s="161"/>
      <c r="U292" s="157"/>
    </row>
    <row r="293" spans="2:21" x14ac:dyDescent="0.3">
      <c r="B293" s="148">
        <v>276</v>
      </c>
      <c r="C293" s="148" t="s">
        <v>35</v>
      </c>
      <c r="D293" s="149" t="s">
        <v>213</v>
      </c>
      <c r="E293" s="150">
        <v>110</v>
      </c>
      <c r="F293" s="150" t="s">
        <v>251</v>
      </c>
      <c r="G293" s="150" t="s">
        <v>169</v>
      </c>
      <c r="H293" s="150" t="s">
        <v>170</v>
      </c>
      <c r="I293" s="150" t="str">
        <f>Table1[[#This Row],[Wing]]&amp;-Table1[[#This Row],[Shop No / Office No. / Flat No.]]</f>
        <v>B-110</v>
      </c>
      <c r="J293" s="173">
        <v>45.02</v>
      </c>
      <c r="K293" s="151">
        <f t="shared" si="9"/>
        <v>484.59528</v>
      </c>
      <c r="L293" s="152">
        <f>Table1[[#This Row],[RERA Carpet Area (Sq. Ft.)]]*1.1</f>
        <v>533.05480800000009</v>
      </c>
      <c r="M293" s="153" t="s">
        <v>167</v>
      </c>
      <c r="N293" s="152" t="s">
        <v>266</v>
      </c>
      <c r="O293" s="152"/>
      <c r="P293" s="174"/>
      <c r="Q293" s="154">
        <f>Table1[[#This Row],[Agreement Value as per  Excel]]-Table1[[#This Row],[Amt Received as per Excel]]</f>
        <v>0</v>
      </c>
      <c r="R293" s="155">
        <f t="shared" si="8"/>
        <v>0</v>
      </c>
      <c r="S293" s="160"/>
      <c r="T293" s="161"/>
      <c r="U293" s="157"/>
    </row>
    <row r="294" spans="2:21" x14ac:dyDescent="0.3">
      <c r="B294" s="148">
        <v>277</v>
      </c>
      <c r="C294" s="148" t="s">
        <v>35</v>
      </c>
      <c r="D294" s="149" t="s">
        <v>214</v>
      </c>
      <c r="E294" s="150">
        <v>201</v>
      </c>
      <c r="F294" s="150" t="s">
        <v>253</v>
      </c>
      <c r="G294" s="150" t="s">
        <v>169</v>
      </c>
      <c r="H294" s="150" t="s">
        <v>170</v>
      </c>
      <c r="I294" s="150" t="str">
        <f>Table1[[#This Row],[Wing]]&amp;-Table1[[#This Row],[Shop No / Office No. / Flat No.]]</f>
        <v>B-201</v>
      </c>
      <c r="J294" s="173">
        <v>33.159999999999997</v>
      </c>
      <c r="K294" s="151">
        <f t="shared" si="9"/>
        <v>356.93423999999993</v>
      </c>
      <c r="L294" s="152">
        <f>Table1[[#This Row],[RERA Carpet Area (Sq. Ft.)]]*1.1</f>
        <v>392.62766399999998</v>
      </c>
      <c r="M294" s="153" t="s">
        <v>211</v>
      </c>
      <c r="N294" s="152" t="s">
        <v>266</v>
      </c>
      <c r="O294" s="152"/>
      <c r="P294" s="174"/>
      <c r="Q294" s="154">
        <f>Table1[[#This Row],[Agreement Value as per  Excel]]-Table1[[#This Row],[Amt Received as per Excel]]</f>
        <v>0</v>
      </c>
      <c r="R294" s="155">
        <f t="shared" si="8"/>
        <v>0</v>
      </c>
      <c r="S294" s="160"/>
      <c r="T294" s="161"/>
      <c r="U294" s="157"/>
    </row>
    <row r="295" spans="2:21" x14ac:dyDescent="0.3">
      <c r="B295" s="148">
        <v>278</v>
      </c>
      <c r="C295" s="148" t="s">
        <v>35</v>
      </c>
      <c r="D295" s="149" t="s">
        <v>214</v>
      </c>
      <c r="E295" s="150">
        <v>202</v>
      </c>
      <c r="F295" s="150" t="s">
        <v>251</v>
      </c>
      <c r="G295" s="150" t="s">
        <v>169</v>
      </c>
      <c r="H295" s="150" t="s">
        <v>170</v>
      </c>
      <c r="I295" s="150" t="str">
        <f>Table1[[#This Row],[Wing]]&amp;-Table1[[#This Row],[Shop No / Office No. / Flat No.]]</f>
        <v>B-202</v>
      </c>
      <c r="J295" s="173">
        <v>56.33</v>
      </c>
      <c r="K295" s="151">
        <f t="shared" si="9"/>
        <v>606.33611999999994</v>
      </c>
      <c r="L295" s="152">
        <f>Table1[[#This Row],[RERA Carpet Area (Sq. Ft.)]]*1.1</f>
        <v>666.96973200000002</v>
      </c>
      <c r="M295" s="153" t="s">
        <v>211</v>
      </c>
      <c r="N295" s="152" t="s">
        <v>265</v>
      </c>
      <c r="O295" s="267">
        <v>2423650</v>
      </c>
      <c r="P295" s="270">
        <v>727095</v>
      </c>
      <c r="Q295" s="154">
        <f>Table1[[#This Row],[Agreement Value as per  Excel]]-Table1[[#This Row],[Amt Received as per Excel]]</f>
        <v>1696555</v>
      </c>
      <c r="R295" s="155">
        <f t="shared" si="8"/>
        <v>3997.2053784293771</v>
      </c>
      <c r="S295" s="160"/>
      <c r="T295" s="161"/>
      <c r="U295" s="157"/>
    </row>
    <row r="296" spans="2:21" x14ac:dyDescent="0.3">
      <c r="B296" s="148">
        <v>279</v>
      </c>
      <c r="C296" s="148" t="s">
        <v>35</v>
      </c>
      <c r="D296" s="149" t="s">
        <v>214</v>
      </c>
      <c r="E296" s="150">
        <v>203</v>
      </c>
      <c r="F296" s="150" t="s">
        <v>251</v>
      </c>
      <c r="G296" s="150" t="s">
        <v>169</v>
      </c>
      <c r="H296" s="150" t="s">
        <v>170</v>
      </c>
      <c r="I296" s="150" t="str">
        <f>Table1[[#This Row],[Wing]]&amp;-Table1[[#This Row],[Shop No / Office No. / Flat No.]]</f>
        <v>B-203</v>
      </c>
      <c r="J296" s="173">
        <v>56.33</v>
      </c>
      <c r="K296" s="151">
        <f t="shared" si="9"/>
        <v>606.33611999999994</v>
      </c>
      <c r="L296" s="152">
        <f>Table1[[#This Row],[RERA Carpet Area (Sq. Ft.)]]*1.1</f>
        <v>666.96973200000002</v>
      </c>
      <c r="M296" s="153" t="s">
        <v>211</v>
      </c>
      <c r="N296" s="152" t="s">
        <v>265</v>
      </c>
      <c r="O296" s="267">
        <v>2423650</v>
      </c>
      <c r="P296" s="270">
        <v>727095</v>
      </c>
      <c r="Q296" s="154">
        <f>Table1[[#This Row],[Agreement Value as per  Excel]]-Table1[[#This Row],[Amt Received as per Excel]]</f>
        <v>1696555</v>
      </c>
      <c r="R296" s="155">
        <f t="shared" si="8"/>
        <v>3997.2053784293771</v>
      </c>
      <c r="S296" s="160"/>
      <c r="T296" s="161"/>
      <c r="U296" s="157"/>
    </row>
    <row r="297" spans="2:21" x14ac:dyDescent="0.3">
      <c r="B297" s="148">
        <v>280</v>
      </c>
      <c r="C297" s="148" t="s">
        <v>35</v>
      </c>
      <c r="D297" s="149" t="s">
        <v>214</v>
      </c>
      <c r="E297" s="150">
        <v>204</v>
      </c>
      <c r="F297" s="150" t="s">
        <v>253</v>
      </c>
      <c r="G297" s="150" t="s">
        <v>169</v>
      </c>
      <c r="H297" s="150" t="s">
        <v>170</v>
      </c>
      <c r="I297" s="150" t="str">
        <f>Table1[[#This Row],[Wing]]&amp;-Table1[[#This Row],[Shop No / Office No. / Flat No.]]</f>
        <v>B-204</v>
      </c>
      <c r="J297" s="173">
        <v>33.159999999999997</v>
      </c>
      <c r="K297" s="151">
        <f t="shared" si="9"/>
        <v>356.93423999999993</v>
      </c>
      <c r="L297" s="152">
        <f>Table1[[#This Row],[RERA Carpet Area (Sq. Ft.)]]*1.1</f>
        <v>392.62766399999998</v>
      </c>
      <c r="M297" s="153" t="s">
        <v>211</v>
      </c>
      <c r="N297" s="152" t="s">
        <v>266</v>
      </c>
      <c r="O297" s="152"/>
      <c r="P297" s="174"/>
      <c r="Q297" s="154">
        <f>Table1[[#This Row],[Agreement Value as per  Excel]]-Table1[[#This Row],[Amt Received as per Excel]]</f>
        <v>0</v>
      </c>
      <c r="R297" s="155">
        <f t="shared" si="8"/>
        <v>0</v>
      </c>
      <c r="S297" s="160"/>
      <c r="T297" s="161"/>
      <c r="U297" s="157"/>
    </row>
    <row r="298" spans="2:21" hidden="1" x14ac:dyDescent="0.3">
      <c r="B298" s="148">
        <v>281</v>
      </c>
      <c r="C298" s="148" t="s">
        <v>35</v>
      </c>
      <c r="D298" s="149" t="s">
        <v>214</v>
      </c>
      <c r="E298" s="150">
        <v>205</v>
      </c>
      <c r="F298" s="150" t="s">
        <v>253</v>
      </c>
      <c r="G298" s="150" t="s">
        <v>169</v>
      </c>
      <c r="H298" s="150" t="s">
        <v>170</v>
      </c>
      <c r="I298" s="150" t="str">
        <f>Table1[[#This Row],[Wing]]&amp;-Table1[[#This Row],[Shop No / Office No. / Flat No.]]</f>
        <v>B-205</v>
      </c>
      <c r="J298" s="173">
        <v>33.44</v>
      </c>
      <c r="K298" s="151">
        <f t="shared" si="9"/>
        <v>359.94815999999997</v>
      </c>
      <c r="L298" s="152">
        <f>Table1[[#This Row],[RERA Carpet Area (Sq. Ft.)]]*1.1</f>
        <v>395.94297599999999</v>
      </c>
      <c r="M298" s="153" t="s">
        <v>167</v>
      </c>
      <c r="N298" s="152" t="s">
        <v>261</v>
      </c>
      <c r="O298" s="152"/>
      <c r="P298" s="174"/>
      <c r="Q298" s="154">
        <f>Table1[[#This Row],[Agreement Value as per  Excel]]-Table1[[#This Row],[Amt Received as per Excel]]</f>
        <v>0</v>
      </c>
      <c r="R298" s="155">
        <f t="shared" si="8"/>
        <v>0</v>
      </c>
      <c r="S298" s="160"/>
      <c r="T298" s="161"/>
      <c r="U298" s="157"/>
    </row>
    <row r="299" spans="2:21" hidden="1" x14ac:dyDescent="0.3">
      <c r="B299" s="148">
        <v>282</v>
      </c>
      <c r="C299" s="148" t="s">
        <v>35</v>
      </c>
      <c r="D299" s="149" t="s">
        <v>214</v>
      </c>
      <c r="E299" s="150">
        <v>206</v>
      </c>
      <c r="F299" s="150" t="s">
        <v>253</v>
      </c>
      <c r="G299" s="150" t="s">
        <v>169</v>
      </c>
      <c r="H299" s="150" t="s">
        <v>166</v>
      </c>
      <c r="I299" s="150" t="str">
        <f>Table1[[#This Row],[Wing]]&amp;-Table1[[#This Row],[Shop No / Office No. / Flat No.]]</f>
        <v>B-206</v>
      </c>
      <c r="J299" s="175">
        <v>33.44</v>
      </c>
      <c r="K299" s="151">
        <f t="shared" si="9"/>
        <v>359.94815999999997</v>
      </c>
      <c r="L299" s="152">
        <f>Table1[[#This Row],[RERA Carpet Area (Sq. Ft.)]]*1.1</f>
        <v>395.94297599999999</v>
      </c>
      <c r="M299" s="153" t="s">
        <v>168</v>
      </c>
      <c r="N299" s="152" t="s">
        <v>168</v>
      </c>
      <c r="O299" s="152">
        <v>5925000</v>
      </c>
      <c r="P299" s="174">
        <v>1251180</v>
      </c>
      <c r="Q299" s="154">
        <f>Table1[[#This Row],[Agreement Value as per  Excel]]-Table1[[#This Row],[Amt Received as per Excel]]</f>
        <v>4673820</v>
      </c>
      <c r="R299" s="155">
        <f t="shared" si="8"/>
        <v>16460.703674662487</v>
      </c>
      <c r="S299" s="160"/>
      <c r="T299" s="161"/>
      <c r="U299" s="157"/>
    </row>
    <row r="300" spans="2:21" hidden="1" x14ac:dyDescent="0.3">
      <c r="B300" s="148">
        <v>283</v>
      </c>
      <c r="C300" s="148" t="s">
        <v>35</v>
      </c>
      <c r="D300" s="149" t="s">
        <v>214</v>
      </c>
      <c r="E300" s="150">
        <v>207</v>
      </c>
      <c r="F300" s="150" t="s">
        <v>254</v>
      </c>
      <c r="G300" s="150" t="s">
        <v>169</v>
      </c>
      <c r="H300" s="150" t="s">
        <v>166</v>
      </c>
      <c r="I300" s="150" t="str">
        <f>Table1[[#This Row],[Wing]]&amp;-Table1[[#This Row],[Shop No / Office No. / Flat No.]]</f>
        <v>B-207</v>
      </c>
      <c r="J300" s="173">
        <v>88.58</v>
      </c>
      <c r="K300" s="151">
        <f t="shared" si="9"/>
        <v>953.47511999999995</v>
      </c>
      <c r="L300" s="152">
        <f>Table1[[#This Row],[RERA Carpet Area (Sq. Ft.)]]*1.1</f>
        <v>1048.8226320000001</v>
      </c>
      <c r="M300" s="153" t="s">
        <v>167</v>
      </c>
      <c r="N300" s="152" t="s">
        <v>167</v>
      </c>
      <c r="O300" s="152"/>
      <c r="P300" s="174"/>
      <c r="Q300" s="154">
        <f>Table1[[#This Row],[Agreement Value as per  Excel]]-Table1[[#This Row],[Amt Received as per Excel]]</f>
        <v>0</v>
      </c>
      <c r="R300" s="155">
        <f t="shared" si="8"/>
        <v>0</v>
      </c>
      <c r="S300" s="160"/>
      <c r="T300" s="161"/>
      <c r="U300" s="157"/>
    </row>
    <row r="301" spans="2:21" x14ac:dyDescent="0.3">
      <c r="B301" s="148">
        <v>284</v>
      </c>
      <c r="C301" s="148" t="s">
        <v>35</v>
      </c>
      <c r="D301" s="149" t="s">
        <v>214</v>
      </c>
      <c r="E301" s="150">
        <v>208</v>
      </c>
      <c r="F301" s="150" t="s">
        <v>254</v>
      </c>
      <c r="G301" s="150" t="s">
        <v>169</v>
      </c>
      <c r="H301" s="150" t="s">
        <v>170</v>
      </c>
      <c r="I301" s="150" t="str">
        <f>Table1[[#This Row],[Wing]]&amp;-Table1[[#This Row],[Shop No / Office No. / Flat No.]]</f>
        <v>B-208</v>
      </c>
      <c r="J301" s="173">
        <v>88.58</v>
      </c>
      <c r="K301" s="151">
        <f t="shared" si="9"/>
        <v>953.47511999999995</v>
      </c>
      <c r="L301" s="152">
        <f>Table1[[#This Row],[RERA Carpet Area (Sq. Ft.)]]*1.1</f>
        <v>1048.8226320000001</v>
      </c>
      <c r="M301" s="153" t="s">
        <v>211</v>
      </c>
      <c r="N301" s="152" t="s">
        <v>265</v>
      </c>
      <c r="O301" s="272">
        <v>12428550</v>
      </c>
      <c r="P301" s="274">
        <v>3841779</v>
      </c>
      <c r="Q301" s="154">
        <f>Table1[[#This Row],[Agreement Value as per  Excel]]-Table1[[#This Row],[Amt Received as per Excel]]</f>
        <v>8586771</v>
      </c>
      <c r="R301" s="155">
        <f t="shared" si="8"/>
        <v>13035.001899158104</v>
      </c>
      <c r="S301" s="160"/>
      <c r="T301" s="161"/>
      <c r="U301" s="157"/>
    </row>
    <row r="302" spans="2:21" x14ac:dyDescent="0.3">
      <c r="B302" s="148">
        <v>285</v>
      </c>
      <c r="C302" s="148" t="s">
        <v>35</v>
      </c>
      <c r="D302" s="149" t="s">
        <v>214</v>
      </c>
      <c r="E302" s="150">
        <v>209</v>
      </c>
      <c r="F302" s="150" t="s">
        <v>251</v>
      </c>
      <c r="G302" s="150" t="s">
        <v>169</v>
      </c>
      <c r="H302" s="150" t="s">
        <v>170</v>
      </c>
      <c r="I302" s="150" t="str">
        <f>Table1[[#This Row],[Wing]]&amp;-Table1[[#This Row],[Shop No / Office No. / Flat No.]]</f>
        <v>B-209</v>
      </c>
      <c r="J302" s="173">
        <v>45.02</v>
      </c>
      <c r="K302" s="151">
        <f t="shared" si="9"/>
        <v>484.59528</v>
      </c>
      <c r="L302" s="152">
        <f>Table1[[#This Row],[RERA Carpet Area (Sq. Ft.)]]*1.1</f>
        <v>533.05480800000009</v>
      </c>
      <c r="M302" s="153" t="s">
        <v>167</v>
      </c>
      <c r="N302" s="152" t="s">
        <v>266</v>
      </c>
      <c r="O302" s="152"/>
      <c r="P302" s="174"/>
      <c r="Q302" s="154">
        <f>Table1[[#This Row],[Agreement Value as per  Excel]]-Table1[[#This Row],[Amt Received as per Excel]]</f>
        <v>0</v>
      </c>
      <c r="R302" s="155">
        <f t="shared" si="8"/>
        <v>0</v>
      </c>
      <c r="S302" s="160"/>
      <c r="T302" s="161"/>
      <c r="U302" s="157"/>
    </row>
    <row r="303" spans="2:21" x14ac:dyDescent="0.3">
      <c r="B303" s="148">
        <v>286</v>
      </c>
      <c r="C303" s="148" t="s">
        <v>35</v>
      </c>
      <c r="D303" s="149" t="s">
        <v>214</v>
      </c>
      <c r="E303" s="150">
        <v>210</v>
      </c>
      <c r="F303" s="150" t="s">
        <v>251</v>
      </c>
      <c r="G303" s="150" t="s">
        <v>169</v>
      </c>
      <c r="H303" s="150" t="s">
        <v>170</v>
      </c>
      <c r="I303" s="150" t="str">
        <f>Table1[[#This Row],[Wing]]&amp;-Table1[[#This Row],[Shop No / Office No. / Flat No.]]</f>
        <v>B-210</v>
      </c>
      <c r="J303" s="173">
        <v>45.02</v>
      </c>
      <c r="K303" s="151">
        <f t="shared" si="9"/>
        <v>484.59528</v>
      </c>
      <c r="L303" s="152">
        <f>Table1[[#This Row],[RERA Carpet Area (Sq. Ft.)]]*1.1</f>
        <v>533.05480800000009</v>
      </c>
      <c r="M303" s="153" t="s">
        <v>167</v>
      </c>
      <c r="N303" s="152" t="s">
        <v>266</v>
      </c>
      <c r="O303" s="152"/>
      <c r="P303" s="174"/>
      <c r="Q303" s="154">
        <f>Table1[[#This Row],[Agreement Value as per  Excel]]-Table1[[#This Row],[Amt Received as per Excel]]</f>
        <v>0</v>
      </c>
      <c r="R303" s="155">
        <f t="shared" si="8"/>
        <v>0</v>
      </c>
      <c r="S303" s="160"/>
      <c r="T303" s="161"/>
      <c r="U303" s="157"/>
    </row>
    <row r="304" spans="2:21" x14ac:dyDescent="0.3">
      <c r="B304" s="148">
        <v>287</v>
      </c>
      <c r="C304" s="148" t="s">
        <v>35</v>
      </c>
      <c r="D304" s="149" t="s">
        <v>215</v>
      </c>
      <c r="E304" s="150">
        <v>301</v>
      </c>
      <c r="F304" s="150" t="s">
        <v>253</v>
      </c>
      <c r="G304" s="150" t="s">
        <v>169</v>
      </c>
      <c r="H304" s="150" t="s">
        <v>170</v>
      </c>
      <c r="I304" s="150" t="str">
        <f>Table1[[#This Row],[Wing]]&amp;-Table1[[#This Row],[Shop No / Office No. / Flat No.]]</f>
        <v>B-301</v>
      </c>
      <c r="J304" s="173">
        <v>33.159999999999997</v>
      </c>
      <c r="K304" s="151">
        <f t="shared" si="9"/>
        <v>356.93423999999993</v>
      </c>
      <c r="L304" s="152">
        <f>Table1[[#This Row],[RERA Carpet Area (Sq. Ft.)]]*1.1</f>
        <v>392.62766399999998</v>
      </c>
      <c r="M304" s="153" t="s">
        <v>211</v>
      </c>
      <c r="N304" s="152" t="s">
        <v>266</v>
      </c>
      <c r="O304" s="152"/>
      <c r="P304" s="174"/>
      <c r="Q304" s="154">
        <f>Table1[[#This Row],[Agreement Value as per  Excel]]-Table1[[#This Row],[Amt Received as per Excel]]</f>
        <v>0</v>
      </c>
      <c r="R304" s="155">
        <f t="shared" si="8"/>
        <v>0</v>
      </c>
      <c r="S304" s="160"/>
      <c r="T304" s="161"/>
      <c r="U304" s="157"/>
    </row>
    <row r="305" spans="2:21" x14ac:dyDescent="0.3">
      <c r="B305" s="148">
        <v>288</v>
      </c>
      <c r="C305" s="148" t="s">
        <v>35</v>
      </c>
      <c r="D305" s="149" t="s">
        <v>215</v>
      </c>
      <c r="E305" s="150">
        <v>302</v>
      </c>
      <c r="F305" s="150" t="s">
        <v>251</v>
      </c>
      <c r="G305" s="150" t="s">
        <v>169</v>
      </c>
      <c r="H305" s="150" t="s">
        <v>170</v>
      </c>
      <c r="I305" s="150" t="str">
        <f>Table1[[#This Row],[Wing]]&amp;-Table1[[#This Row],[Shop No / Office No. / Flat No.]]</f>
        <v>B-302</v>
      </c>
      <c r="J305" s="173">
        <v>56.33</v>
      </c>
      <c r="K305" s="151">
        <f t="shared" si="9"/>
        <v>606.33611999999994</v>
      </c>
      <c r="L305" s="152">
        <f>Table1[[#This Row],[RERA Carpet Area (Sq. Ft.)]]*1.1</f>
        <v>666.96973200000002</v>
      </c>
      <c r="M305" s="153" t="s">
        <v>211</v>
      </c>
      <c r="N305" s="152" t="s">
        <v>266</v>
      </c>
      <c r="O305" s="152"/>
      <c r="P305" s="174"/>
      <c r="Q305" s="154">
        <f>Table1[[#This Row],[Agreement Value as per  Excel]]-Table1[[#This Row],[Amt Received as per Excel]]</f>
        <v>0</v>
      </c>
      <c r="R305" s="155">
        <f t="shared" si="8"/>
        <v>0</v>
      </c>
      <c r="S305" s="160"/>
      <c r="T305" s="161"/>
      <c r="U305" s="157"/>
    </row>
    <row r="306" spans="2:21" x14ac:dyDescent="0.3">
      <c r="B306" s="148">
        <v>289</v>
      </c>
      <c r="C306" s="148" t="s">
        <v>35</v>
      </c>
      <c r="D306" s="149" t="s">
        <v>215</v>
      </c>
      <c r="E306" s="150">
        <v>303</v>
      </c>
      <c r="F306" s="150" t="s">
        <v>251</v>
      </c>
      <c r="G306" s="150" t="s">
        <v>169</v>
      </c>
      <c r="H306" s="150" t="s">
        <v>170</v>
      </c>
      <c r="I306" s="150" t="str">
        <f>Table1[[#This Row],[Wing]]&amp;-Table1[[#This Row],[Shop No / Office No. / Flat No.]]</f>
        <v>B-303</v>
      </c>
      <c r="J306" s="173">
        <v>56.33</v>
      </c>
      <c r="K306" s="151">
        <f t="shared" si="9"/>
        <v>606.33611999999994</v>
      </c>
      <c r="L306" s="152">
        <f>Table1[[#This Row],[RERA Carpet Area (Sq. Ft.)]]*1.1</f>
        <v>666.96973200000002</v>
      </c>
      <c r="M306" s="153" t="s">
        <v>211</v>
      </c>
      <c r="N306" s="152" t="s">
        <v>265</v>
      </c>
      <c r="O306" s="267">
        <v>2423650</v>
      </c>
      <c r="P306" s="270">
        <v>1817738</v>
      </c>
      <c r="Q306" s="154">
        <f>Table1[[#This Row],[Agreement Value as per  Excel]]-Table1[[#This Row],[Amt Received as per Excel]]</f>
        <v>605912</v>
      </c>
      <c r="R306" s="155">
        <f t="shared" si="8"/>
        <v>3997.2053784293771</v>
      </c>
      <c r="S306" s="160"/>
      <c r="T306" s="161"/>
      <c r="U306" s="157"/>
    </row>
    <row r="307" spans="2:21" x14ac:dyDescent="0.3">
      <c r="B307" s="148">
        <v>290</v>
      </c>
      <c r="C307" s="148" t="s">
        <v>35</v>
      </c>
      <c r="D307" s="149" t="s">
        <v>215</v>
      </c>
      <c r="E307" s="150">
        <v>304</v>
      </c>
      <c r="F307" s="150" t="s">
        <v>253</v>
      </c>
      <c r="G307" s="150" t="s">
        <v>169</v>
      </c>
      <c r="H307" s="150" t="s">
        <v>170</v>
      </c>
      <c r="I307" s="150" t="str">
        <f>Table1[[#This Row],[Wing]]&amp;-Table1[[#This Row],[Shop No / Office No. / Flat No.]]</f>
        <v>B-304</v>
      </c>
      <c r="J307" s="173">
        <v>33.159999999999997</v>
      </c>
      <c r="K307" s="151">
        <f t="shared" si="9"/>
        <v>356.93423999999993</v>
      </c>
      <c r="L307" s="152">
        <f>Table1[[#This Row],[RERA Carpet Area (Sq. Ft.)]]*1.1</f>
        <v>392.62766399999998</v>
      </c>
      <c r="M307" s="153" t="s">
        <v>211</v>
      </c>
      <c r="N307" s="152" t="s">
        <v>266</v>
      </c>
      <c r="O307" s="152"/>
      <c r="P307" s="174"/>
      <c r="Q307" s="154">
        <f>Table1[[#This Row],[Agreement Value as per  Excel]]-Table1[[#This Row],[Amt Received as per Excel]]</f>
        <v>0</v>
      </c>
      <c r="R307" s="155">
        <f t="shared" si="8"/>
        <v>0</v>
      </c>
      <c r="S307" s="160"/>
      <c r="T307" s="161"/>
      <c r="U307" s="157"/>
    </row>
    <row r="308" spans="2:21" hidden="1" x14ac:dyDescent="0.3">
      <c r="B308" s="148">
        <v>291</v>
      </c>
      <c r="C308" s="148" t="s">
        <v>35</v>
      </c>
      <c r="D308" s="149" t="s">
        <v>215</v>
      </c>
      <c r="E308" s="150">
        <v>305</v>
      </c>
      <c r="F308" s="150" t="s">
        <v>253</v>
      </c>
      <c r="G308" s="150" t="s">
        <v>169</v>
      </c>
      <c r="H308" s="150" t="s">
        <v>166</v>
      </c>
      <c r="I308" s="150" t="str">
        <f>Table1[[#This Row],[Wing]]&amp;-Table1[[#This Row],[Shop No / Office No. / Flat No.]]</f>
        <v>B-305</v>
      </c>
      <c r="J308" s="175">
        <v>33.44</v>
      </c>
      <c r="K308" s="151">
        <f t="shared" si="9"/>
        <v>359.94815999999997</v>
      </c>
      <c r="L308" s="152">
        <f>Table1[[#This Row],[RERA Carpet Area (Sq. Ft.)]]*1.1</f>
        <v>395.94297599999999</v>
      </c>
      <c r="M308" s="153" t="s">
        <v>168</v>
      </c>
      <c r="N308" s="152" t="s">
        <v>168</v>
      </c>
      <c r="O308" s="152">
        <v>6111400</v>
      </c>
      <c r="P308" s="174">
        <v>1000000</v>
      </c>
      <c r="Q308" s="154">
        <f>Table1[[#This Row],[Agreement Value as per  Excel]]-Table1[[#This Row],[Amt Received as per Excel]]</f>
        <v>5111400</v>
      </c>
      <c r="R308" s="155">
        <f t="shared" si="8"/>
        <v>16978.556023178451</v>
      </c>
      <c r="S308" s="160"/>
      <c r="T308" s="161"/>
      <c r="U308" s="157"/>
    </row>
    <row r="309" spans="2:21" hidden="1" x14ac:dyDescent="0.3">
      <c r="B309" s="148">
        <v>292</v>
      </c>
      <c r="C309" s="148" t="s">
        <v>35</v>
      </c>
      <c r="D309" s="149" t="s">
        <v>215</v>
      </c>
      <c r="E309" s="150">
        <v>306</v>
      </c>
      <c r="F309" s="150" t="s">
        <v>253</v>
      </c>
      <c r="G309" s="150" t="s">
        <v>169</v>
      </c>
      <c r="H309" s="150" t="s">
        <v>166</v>
      </c>
      <c r="I309" s="150" t="str">
        <f>Table1[[#This Row],[Wing]]&amp;-Table1[[#This Row],[Shop No / Office No. / Flat No.]]</f>
        <v>B-306</v>
      </c>
      <c r="J309" s="173">
        <v>33.44</v>
      </c>
      <c r="K309" s="151">
        <f t="shared" si="9"/>
        <v>359.94815999999997</v>
      </c>
      <c r="L309" s="152">
        <f>Table1[[#This Row],[RERA Carpet Area (Sq. Ft.)]]*1.1</f>
        <v>395.94297599999999</v>
      </c>
      <c r="M309" s="153" t="s">
        <v>167</v>
      </c>
      <c r="N309" s="152" t="s">
        <v>167</v>
      </c>
      <c r="O309" s="152"/>
      <c r="P309" s="174"/>
      <c r="Q309" s="154">
        <f>Table1[[#This Row],[Agreement Value as per  Excel]]-Table1[[#This Row],[Amt Received as per Excel]]</f>
        <v>0</v>
      </c>
      <c r="R309" s="155">
        <f t="shared" si="8"/>
        <v>0</v>
      </c>
      <c r="S309" s="160"/>
      <c r="T309" s="161"/>
      <c r="U309" s="157"/>
    </row>
    <row r="310" spans="2:21" x14ac:dyDescent="0.3">
      <c r="B310" s="148">
        <v>293</v>
      </c>
      <c r="C310" s="148" t="s">
        <v>35</v>
      </c>
      <c r="D310" s="149" t="s">
        <v>215</v>
      </c>
      <c r="E310" s="150">
        <v>307</v>
      </c>
      <c r="F310" s="150" t="s">
        <v>254</v>
      </c>
      <c r="G310" s="150" t="s">
        <v>169</v>
      </c>
      <c r="H310" s="150" t="s">
        <v>166</v>
      </c>
      <c r="I310" s="150" t="str">
        <f>Table1[[#This Row],[Wing]]&amp;-Table1[[#This Row],[Shop No / Office No. / Flat No.]]</f>
        <v>B-307</v>
      </c>
      <c r="J310" s="173">
        <v>88.58</v>
      </c>
      <c r="K310" s="151">
        <f t="shared" si="9"/>
        <v>953.47511999999995</v>
      </c>
      <c r="L310" s="152">
        <f>Table1[[#This Row],[RERA Carpet Area (Sq. Ft.)]]*1.1</f>
        <v>1048.8226320000001</v>
      </c>
      <c r="M310" s="153" t="s">
        <v>211</v>
      </c>
      <c r="N310" s="152" t="s">
        <v>265</v>
      </c>
      <c r="O310" s="272">
        <f>496.48*20000</f>
        <v>9929600</v>
      </c>
      <c r="P310" s="274">
        <v>2515500</v>
      </c>
      <c r="Q310" s="154">
        <f>Table1[[#This Row],[Agreement Value as per  Excel]]-Table1[[#This Row],[Amt Received as per Excel]]</f>
        <v>7414100</v>
      </c>
      <c r="R310" s="155">
        <f t="shared" si="8"/>
        <v>10414.115472672218</v>
      </c>
      <c r="S310" s="160"/>
      <c r="T310" s="161"/>
      <c r="U310" s="157"/>
    </row>
    <row r="311" spans="2:21" hidden="1" x14ac:dyDescent="0.3">
      <c r="B311" s="148">
        <v>294</v>
      </c>
      <c r="C311" s="148" t="s">
        <v>35</v>
      </c>
      <c r="D311" s="149" t="s">
        <v>215</v>
      </c>
      <c r="E311" s="150">
        <v>308</v>
      </c>
      <c r="F311" s="150" t="s">
        <v>254</v>
      </c>
      <c r="G311" s="150" t="s">
        <v>169</v>
      </c>
      <c r="H311" s="150" t="s">
        <v>166</v>
      </c>
      <c r="I311" s="150" t="str">
        <f>Table1[[#This Row],[Wing]]&amp;-Table1[[#This Row],[Shop No / Office No. / Flat No.]]</f>
        <v>B-308</v>
      </c>
      <c r="J311" s="173">
        <v>88.58</v>
      </c>
      <c r="K311" s="151">
        <f t="shared" si="9"/>
        <v>953.47511999999995</v>
      </c>
      <c r="L311" s="152">
        <f>Table1[[#This Row],[RERA Carpet Area (Sq. Ft.)]]*1.1</f>
        <v>1048.8226320000001</v>
      </c>
      <c r="M311" s="153" t="s">
        <v>167</v>
      </c>
      <c r="N311" s="152" t="s">
        <v>167</v>
      </c>
      <c r="O311" s="152"/>
      <c r="P311" s="174"/>
      <c r="Q311" s="154">
        <f>Table1[[#This Row],[Agreement Value as per  Excel]]-Table1[[#This Row],[Amt Received as per Excel]]</f>
        <v>0</v>
      </c>
      <c r="R311" s="155">
        <f t="shared" si="8"/>
        <v>0</v>
      </c>
      <c r="S311" s="160"/>
      <c r="T311" s="161"/>
      <c r="U311" s="157"/>
    </row>
    <row r="312" spans="2:21" x14ac:dyDescent="0.3">
      <c r="B312" s="148">
        <v>295</v>
      </c>
      <c r="C312" s="148" t="s">
        <v>35</v>
      </c>
      <c r="D312" s="149" t="s">
        <v>215</v>
      </c>
      <c r="E312" s="150">
        <v>309</v>
      </c>
      <c r="F312" s="150" t="s">
        <v>251</v>
      </c>
      <c r="G312" s="150" t="s">
        <v>169</v>
      </c>
      <c r="H312" s="150" t="s">
        <v>170</v>
      </c>
      <c r="I312" s="150" t="str">
        <f>Table1[[#This Row],[Wing]]&amp;-Table1[[#This Row],[Shop No / Office No. / Flat No.]]</f>
        <v>B-309</v>
      </c>
      <c r="J312" s="173">
        <v>45.02</v>
      </c>
      <c r="K312" s="151">
        <f t="shared" si="9"/>
        <v>484.59528</v>
      </c>
      <c r="L312" s="152">
        <f>Table1[[#This Row],[RERA Carpet Area (Sq. Ft.)]]*1.1</f>
        <v>533.05480800000009</v>
      </c>
      <c r="M312" s="153" t="s">
        <v>167</v>
      </c>
      <c r="N312" s="152" t="s">
        <v>266</v>
      </c>
      <c r="O312" s="152"/>
      <c r="P312" s="174"/>
      <c r="Q312" s="154">
        <f>Table1[[#This Row],[Agreement Value as per  Excel]]-Table1[[#This Row],[Amt Received as per Excel]]</f>
        <v>0</v>
      </c>
      <c r="R312" s="155">
        <f t="shared" si="8"/>
        <v>0</v>
      </c>
      <c r="S312" s="160"/>
      <c r="T312" s="161"/>
      <c r="U312" s="157"/>
    </row>
    <row r="313" spans="2:21" x14ac:dyDescent="0.3">
      <c r="B313" s="148">
        <v>296</v>
      </c>
      <c r="C313" s="148" t="s">
        <v>35</v>
      </c>
      <c r="D313" s="149" t="s">
        <v>215</v>
      </c>
      <c r="E313" s="150">
        <v>310</v>
      </c>
      <c r="F313" s="150" t="s">
        <v>251</v>
      </c>
      <c r="G313" s="150" t="s">
        <v>169</v>
      </c>
      <c r="H313" s="150" t="s">
        <v>170</v>
      </c>
      <c r="I313" s="150" t="str">
        <f>Table1[[#This Row],[Wing]]&amp;-Table1[[#This Row],[Shop No / Office No. / Flat No.]]</f>
        <v>B-310</v>
      </c>
      <c r="J313" s="173">
        <v>45.02</v>
      </c>
      <c r="K313" s="151">
        <f t="shared" si="9"/>
        <v>484.59528</v>
      </c>
      <c r="L313" s="152">
        <f>Table1[[#This Row],[RERA Carpet Area (Sq. Ft.)]]*1.1</f>
        <v>533.05480800000009</v>
      </c>
      <c r="M313" s="153" t="s">
        <v>167</v>
      </c>
      <c r="N313" s="152" t="s">
        <v>266</v>
      </c>
      <c r="O313" s="152"/>
      <c r="P313" s="174"/>
      <c r="Q313" s="154">
        <f>Table1[[#This Row],[Agreement Value as per  Excel]]-Table1[[#This Row],[Amt Received as per Excel]]</f>
        <v>0</v>
      </c>
      <c r="R313" s="155">
        <f t="shared" si="8"/>
        <v>0</v>
      </c>
      <c r="S313" s="160"/>
      <c r="T313" s="161"/>
      <c r="U313" s="157"/>
    </row>
    <row r="314" spans="2:21" x14ac:dyDescent="0.3">
      <c r="B314" s="148">
        <v>297</v>
      </c>
      <c r="C314" s="148" t="s">
        <v>35</v>
      </c>
      <c r="D314" s="149" t="s">
        <v>216</v>
      </c>
      <c r="E314" s="150">
        <v>401</v>
      </c>
      <c r="F314" s="150" t="s">
        <v>173</v>
      </c>
      <c r="G314" s="150" t="s">
        <v>169</v>
      </c>
      <c r="H314" s="150" t="s">
        <v>170</v>
      </c>
      <c r="I314" s="150" t="str">
        <f>Table1[[#This Row],[Wing]]&amp;-Table1[[#This Row],[Shop No / Office No. / Flat No.]]</f>
        <v>B-401</v>
      </c>
      <c r="J314" s="173">
        <v>33.159999999999997</v>
      </c>
      <c r="K314" s="151">
        <f t="shared" si="9"/>
        <v>356.93423999999993</v>
      </c>
      <c r="L314" s="152">
        <f>Table1[[#This Row],[RERA Carpet Area (Sq. Ft.)]]*1.1</f>
        <v>392.62766399999998</v>
      </c>
      <c r="M314" s="153" t="s">
        <v>211</v>
      </c>
      <c r="N314" s="152" t="s">
        <v>266</v>
      </c>
      <c r="O314" s="152"/>
      <c r="P314" s="174"/>
      <c r="Q314" s="154">
        <f>Table1[[#This Row],[Agreement Value as per  Excel]]-Table1[[#This Row],[Amt Received as per Excel]]</f>
        <v>0</v>
      </c>
      <c r="R314" s="155">
        <f t="shared" si="8"/>
        <v>0</v>
      </c>
      <c r="S314" s="160"/>
      <c r="T314" s="161"/>
      <c r="U314" s="157"/>
    </row>
    <row r="315" spans="2:21" hidden="1" x14ac:dyDescent="0.3">
      <c r="B315" s="148">
        <v>298</v>
      </c>
      <c r="C315" s="148" t="s">
        <v>35</v>
      </c>
      <c r="D315" s="149" t="s">
        <v>216</v>
      </c>
      <c r="E315" s="150">
        <v>402</v>
      </c>
      <c r="F315" s="150" t="s">
        <v>172</v>
      </c>
      <c r="G315" s="150" t="s">
        <v>169</v>
      </c>
      <c r="H315" s="150" t="s">
        <v>170</v>
      </c>
      <c r="I315" s="150" t="str">
        <f>Table1[[#This Row],[Wing]]&amp;-Table1[[#This Row],[Shop No / Office No. / Flat No.]]</f>
        <v>B-402</v>
      </c>
      <c r="J315" s="173">
        <v>58.59</v>
      </c>
      <c r="K315" s="151">
        <f t="shared" si="9"/>
        <v>630.66276000000005</v>
      </c>
      <c r="L315" s="152">
        <f>Table1[[#This Row],[RERA Carpet Area (Sq. Ft.)]]*1.1</f>
        <v>693.72903600000006</v>
      </c>
      <c r="M315" s="153" t="s">
        <v>167</v>
      </c>
      <c r="N315" s="152" t="s">
        <v>168</v>
      </c>
      <c r="O315" s="152">
        <v>14514455</v>
      </c>
      <c r="P315" s="174">
        <v>2449000</v>
      </c>
      <c r="Q315" s="154">
        <f>Table1[[#This Row],[Agreement Value as per  Excel]]-Table1[[#This Row],[Amt Received as per Excel]]</f>
        <v>12065455</v>
      </c>
      <c r="R315" s="155">
        <f t="shared" si="8"/>
        <v>23014.606094705829</v>
      </c>
      <c r="S315" s="160"/>
      <c r="T315" s="161"/>
      <c r="U315" s="157"/>
    </row>
    <row r="316" spans="2:21" x14ac:dyDescent="0.3">
      <c r="B316" s="148">
        <v>299</v>
      </c>
      <c r="C316" s="148" t="s">
        <v>35</v>
      </c>
      <c r="D316" s="149" t="s">
        <v>216</v>
      </c>
      <c r="E316" s="150">
        <v>403</v>
      </c>
      <c r="F316" s="150" t="s">
        <v>172</v>
      </c>
      <c r="G316" s="150" t="s">
        <v>169</v>
      </c>
      <c r="H316" s="150" t="s">
        <v>170</v>
      </c>
      <c r="I316" s="150" t="str">
        <f>Table1[[#This Row],[Wing]]&amp;-Table1[[#This Row],[Shop No / Office No. / Flat No.]]</f>
        <v>B-403</v>
      </c>
      <c r="J316" s="173">
        <v>58.59</v>
      </c>
      <c r="K316" s="151">
        <f t="shared" si="9"/>
        <v>630.66276000000005</v>
      </c>
      <c r="L316" s="152">
        <f>Table1[[#This Row],[RERA Carpet Area (Sq. Ft.)]]*1.1</f>
        <v>693.72903600000006</v>
      </c>
      <c r="M316" s="153" t="s">
        <v>211</v>
      </c>
      <c r="N316" s="152" t="s">
        <v>265</v>
      </c>
      <c r="O316" s="267">
        <v>3083650</v>
      </c>
      <c r="P316" s="270">
        <v>925095</v>
      </c>
      <c r="Q316" s="154">
        <f>Table1[[#This Row],[Agreement Value as per  Excel]]-Table1[[#This Row],[Amt Received as per Excel]]</f>
        <v>2158555</v>
      </c>
      <c r="R316" s="155">
        <f t="shared" si="8"/>
        <v>4889.5387449228801</v>
      </c>
      <c r="S316" s="160"/>
      <c r="T316" s="161"/>
      <c r="U316" s="157"/>
    </row>
    <row r="317" spans="2:21" x14ac:dyDescent="0.3">
      <c r="B317" s="148">
        <v>300</v>
      </c>
      <c r="C317" s="148" t="s">
        <v>35</v>
      </c>
      <c r="D317" s="149" t="s">
        <v>216</v>
      </c>
      <c r="E317" s="150">
        <v>404</v>
      </c>
      <c r="F317" s="150" t="s">
        <v>173</v>
      </c>
      <c r="G317" s="150" t="s">
        <v>169</v>
      </c>
      <c r="H317" s="150" t="s">
        <v>170</v>
      </c>
      <c r="I317" s="150" t="str">
        <f>Table1[[#This Row],[Wing]]&amp;-Table1[[#This Row],[Shop No / Office No. / Flat No.]]</f>
        <v>B-404</v>
      </c>
      <c r="J317" s="173">
        <v>33.159999999999997</v>
      </c>
      <c r="K317" s="151">
        <f t="shared" si="9"/>
        <v>356.93423999999993</v>
      </c>
      <c r="L317" s="152">
        <f>Table1[[#This Row],[RERA Carpet Area (Sq. Ft.)]]*1.1</f>
        <v>392.62766399999998</v>
      </c>
      <c r="M317" s="153" t="s">
        <v>211</v>
      </c>
      <c r="N317" s="152" t="s">
        <v>266</v>
      </c>
      <c r="O317" s="152"/>
      <c r="P317" s="174"/>
      <c r="Q317" s="154">
        <f>Table1[[#This Row],[Agreement Value as per  Excel]]-Table1[[#This Row],[Amt Received as per Excel]]</f>
        <v>0</v>
      </c>
      <c r="R317" s="155">
        <f t="shared" si="8"/>
        <v>0</v>
      </c>
      <c r="S317" s="160"/>
      <c r="T317" s="161"/>
      <c r="U317" s="157"/>
    </row>
    <row r="318" spans="2:21" x14ac:dyDescent="0.3">
      <c r="B318" s="148">
        <v>301</v>
      </c>
      <c r="C318" s="148" t="s">
        <v>35</v>
      </c>
      <c r="D318" s="149" t="s">
        <v>216</v>
      </c>
      <c r="E318" s="150">
        <v>405</v>
      </c>
      <c r="F318" s="150" t="s">
        <v>173</v>
      </c>
      <c r="G318" s="150" t="s">
        <v>169</v>
      </c>
      <c r="H318" s="150" t="s">
        <v>166</v>
      </c>
      <c r="I318" s="150" t="str">
        <f>Table1[[#This Row],[Wing]]&amp;-Table1[[#This Row],[Shop No / Office No. / Flat No.]]</f>
        <v>B-405</v>
      </c>
      <c r="J318" s="173">
        <v>33.44</v>
      </c>
      <c r="K318" s="151">
        <f t="shared" si="9"/>
        <v>359.94815999999997</v>
      </c>
      <c r="L318" s="152">
        <f>Table1[[#This Row],[RERA Carpet Area (Sq. Ft.)]]*1.1</f>
        <v>395.94297599999999</v>
      </c>
      <c r="M318" s="153" t="s">
        <v>211</v>
      </c>
      <c r="N318" s="152" t="s">
        <v>266</v>
      </c>
      <c r="O318" s="152"/>
      <c r="P318" s="174"/>
      <c r="Q318" s="154">
        <f>Table1[[#This Row],[Agreement Value as per  Excel]]-Table1[[#This Row],[Amt Received as per Excel]]</f>
        <v>0</v>
      </c>
      <c r="R318" s="155">
        <f t="shared" si="8"/>
        <v>0</v>
      </c>
      <c r="S318" s="160"/>
      <c r="T318" s="161"/>
      <c r="U318" s="157"/>
    </row>
    <row r="319" spans="2:21" hidden="1" x14ac:dyDescent="0.3">
      <c r="B319" s="148">
        <v>302</v>
      </c>
      <c r="C319" s="148" t="s">
        <v>35</v>
      </c>
      <c r="D319" s="149" t="s">
        <v>216</v>
      </c>
      <c r="E319" s="150">
        <v>406</v>
      </c>
      <c r="F319" s="150" t="s">
        <v>173</v>
      </c>
      <c r="G319" s="150" t="s">
        <v>169</v>
      </c>
      <c r="H319" s="150" t="s">
        <v>166</v>
      </c>
      <c r="I319" s="150" t="str">
        <f>Table1[[#This Row],[Wing]]&amp;-Table1[[#This Row],[Shop No / Office No. / Flat No.]]</f>
        <v>B-406</v>
      </c>
      <c r="J319" s="175">
        <v>33.44</v>
      </c>
      <c r="K319" s="151">
        <f t="shared" si="9"/>
        <v>359.94815999999997</v>
      </c>
      <c r="L319" s="152">
        <f>Table1[[#This Row],[RERA Carpet Area (Sq. Ft.)]]*1.1</f>
        <v>395.94297599999999</v>
      </c>
      <c r="M319" s="153" t="s">
        <v>168</v>
      </c>
      <c r="N319" s="152" t="s">
        <v>168</v>
      </c>
      <c r="O319" s="152">
        <v>8492500</v>
      </c>
      <c r="P319" s="174">
        <v>1000000</v>
      </c>
      <c r="Q319" s="154">
        <f>Table1[[#This Row],[Agreement Value as per  Excel]]-Table1[[#This Row],[Amt Received as per Excel]]</f>
        <v>7492500</v>
      </c>
      <c r="R319" s="155">
        <f t="shared" si="8"/>
        <v>23593.675267016231</v>
      </c>
      <c r="S319" s="160"/>
      <c r="T319" s="161"/>
      <c r="U319" s="157"/>
    </row>
    <row r="320" spans="2:21" hidden="1" x14ac:dyDescent="0.3">
      <c r="B320" s="148">
        <v>303</v>
      </c>
      <c r="C320" s="148" t="s">
        <v>35</v>
      </c>
      <c r="D320" s="149" t="s">
        <v>216</v>
      </c>
      <c r="E320" s="150">
        <v>407</v>
      </c>
      <c r="F320" s="150" t="s">
        <v>174</v>
      </c>
      <c r="G320" s="150" t="s">
        <v>169</v>
      </c>
      <c r="H320" s="150" t="s">
        <v>166</v>
      </c>
      <c r="I320" s="150" t="str">
        <f>Table1[[#This Row],[Wing]]&amp;-Table1[[#This Row],[Shop No / Office No. / Flat No.]]</f>
        <v>B-407</v>
      </c>
      <c r="J320" s="175">
        <v>88.58</v>
      </c>
      <c r="K320" s="151">
        <f t="shared" si="9"/>
        <v>953.47511999999995</v>
      </c>
      <c r="L320" s="152">
        <f>Table1[[#This Row],[RERA Carpet Area (Sq. Ft.)]]*1.1</f>
        <v>1048.8226320000001</v>
      </c>
      <c r="M320" s="153" t="s">
        <v>168</v>
      </c>
      <c r="N320" s="152" t="s">
        <v>168</v>
      </c>
      <c r="O320" s="152">
        <v>20676705</v>
      </c>
      <c r="P320" s="174">
        <v>7200000</v>
      </c>
      <c r="Q320" s="154">
        <f>Table1[[#This Row],[Agreement Value as per  Excel]]-Table1[[#This Row],[Amt Received as per Excel]]</f>
        <v>13476705</v>
      </c>
      <c r="R320" s="155">
        <f t="shared" si="8"/>
        <v>21685.626154566049</v>
      </c>
      <c r="S320" s="160"/>
      <c r="T320" s="161"/>
      <c r="U320" s="157"/>
    </row>
    <row r="321" spans="2:21" hidden="1" x14ac:dyDescent="0.3">
      <c r="B321" s="148">
        <v>304</v>
      </c>
      <c r="C321" s="148" t="s">
        <v>35</v>
      </c>
      <c r="D321" s="149" t="s">
        <v>216</v>
      </c>
      <c r="E321" s="150">
        <v>408</v>
      </c>
      <c r="F321" s="150" t="s">
        <v>174</v>
      </c>
      <c r="G321" s="150" t="s">
        <v>169</v>
      </c>
      <c r="H321" s="150" t="s">
        <v>166</v>
      </c>
      <c r="I321" s="150" t="str">
        <f>Table1[[#This Row],[Wing]]&amp;-Table1[[#This Row],[Shop No / Office No. / Flat No.]]</f>
        <v>B-408</v>
      </c>
      <c r="J321" s="173">
        <v>88.58</v>
      </c>
      <c r="K321" s="151">
        <f t="shared" si="9"/>
        <v>953.47511999999995</v>
      </c>
      <c r="L321" s="152">
        <f>Table1[[#This Row],[RERA Carpet Area (Sq. Ft.)]]*1.1</f>
        <v>1048.8226320000001</v>
      </c>
      <c r="M321" s="153" t="s">
        <v>167</v>
      </c>
      <c r="N321" s="152" t="s">
        <v>168</v>
      </c>
      <c r="O321" s="152">
        <v>21685845</v>
      </c>
      <c r="P321" s="174">
        <v>2451000</v>
      </c>
      <c r="Q321" s="154">
        <f>Table1[[#This Row],[Agreement Value as per  Excel]]-Table1[[#This Row],[Amt Received as per Excel]]</f>
        <v>19234845</v>
      </c>
      <c r="R321" s="155">
        <f t="shared" si="8"/>
        <v>22744.007205977228</v>
      </c>
      <c r="S321" s="160"/>
      <c r="T321" s="161"/>
      <c r="U321" s="157"/>
    </row>
    <row r="322" spans="2:21" x14ac:dyDescent="0.3">
      <c r="B322" s="148">
        <v>305</v>
      </c>
      <c r="C322" s="148" t="s">
        <v>35</v>
      </c>
      <c r="D322" s="149" t="s">
        <v>216</v>
      </c>
      <c r="E322" s="150">
        <v>409</v>
      </c>
      <c r="F322" s="150" t="s">
        <v>172</v>
      </c>
      <c r="G322" s="150" t="s">
        <v>169</v>
      </c>
      <c r="H322" s="150" t="s">
        <v>166</v>
      </c>
      <c r="I322" s="150" t="str">
        <f>Table1[[#This Row],[Wing]]&amp;-Table1[[#This Row],[Shop No / Office No. / Flat No.]]</f>
        <v>B-409</v>
      </c>
      <c r="J322" s="173">
        <v>45.02</v>
      </c>
      <c r="K322" s="151">
        <f t="shared" si="9"/>
        <v>484.59528</v>
      </c>
      <c r="L322" s="152">
        <f>Table1[[#This Row],[RERA Carpet Area (Sq. Ft.)]]*1.1</f>
        <v>533.05480800000009</v>
      </c>
      <c r="M322" s="153" t="s">
        <v>211</v>
      </c>
      <c r="N322" s="152" t="s">
        <v>266</v>
      </c>
      <c r="O322" s="152"/>
      <c r="P322" s="174"/>
      <c r="Q322" s="154">
        <f>Table1[[#This Row],[Agreement Value as per  Excel]]-Table1[[#This Row],[Amt Received as per Excel]]</f>
        <v>0</v>
      </c>
      <c r="R322" s="155">
        <f t="shared" si="8"/>
        <v>0</v>
      </c>
      <c r="S322" s="160"/>
      <c r="T322" s="161"/>
      <c r="U322" s="157"/>
    </row>
    <row r="323" spans="2:21" hidden="1" x14ac:dyDescent="0.3">
      <c r="B323" s="148">
        <v>306</v>
      </c>
      <c r="C323" s="148" t="s">
        <v>35</v>
      </c>
      <c r="D323" s="149" t="s">
        <v>216</v>
      </c>
      <c r="E323" s="150">
        <v>410</v>
      </c>
      <c r="F323" s="150" t="s">
        <v>172</v>
      </c>
      <c r="G323" s="150" t="s">
        <v>169</v>
      </c>
      <c r="H323" s="150" t="s">
        <v>166</v>
      </c>
      <c r="I323" s="150" t="str">
        <f>Table1[[#This Row],[Wing]]&amp;-Table1[[#This Row],[Shop No / Office No. / Flat No.]]</f>
        <v>B-410</v>
      </c>
      <c r="J323" s="173">
        <v>45.02</v>
      </c>
      <c r="K323" s="151">
        <f t="shared" si="9"/>
        <v>484.59528</v>
      </c>
      <c r="L323" s="152">
        <f>Table1[[#This Row],[RERA Carpet Area (Sq. Ft.)]]*1.1</f>
        <v>533.05480800000009</v>
      </c>
      <c r="M323" s="153" t="s">
        <v>167</v>
      </c>
      <c r="N323" s="152" t="s">
        <v>167</v>
      </c>
      <c r="O323" s="152"/>
      <c r="P323" s="174"/>
      <c r="Q323" s="154">
        <f>Table1[[#This Row],[Agreement Value as per  Excel]]-Table1[[#This Row],[Amt Received as per Excel]]</f>
        <v>0</v>
      </c>
      <c r="R323" s="155">
        <f t="shared" ref="R323:R386" si="10">IFERROR(O323/K323,0)</f>
        <v>0</v>
      </c>
      <c r="S323" s="160"/>
      <c r="T323" s="161"/>
      <c r="U323" s="157"/>
    </row>
    <row r="324" spans="2:21" hidden="1" x14ac:dyDescent="0.3">
      <c r="B324" s="148">
        <v>307</v>
      </c>
      <c r="C324" s="148" t="s">
        <v>35</v>
      </c>
      <c r="D324" s="149" t="s">
        <v>217</v>
      </c>
      <c r="E324" s="150">
        <v>501</v>
      </c>
      <c r="F324" s="150" t="s">
        <v>173</v>
      </c>
      <c r="G324" s="150" t="s">
        <v>169</v>
      </c>
      <c r="H324" s="150" t="s">
        <v>170</v>
      </c>
      <c r="I324" s="150" t="str">
        <f>Table1[[#This Row],[Wing]]&amp;-Table1[[#This Row],[Shop No / Office No. / Flat No.]]</f>
        <v>B-501</v>
      </c>
      <c r="J324" s="173">
        <v>33.159999999999997</v>
      </c>
      <c r="K324" s="151">
        <f t="shared" si="9"/>
        <v>356.93423999999993</v>
      </c>
      <c r="L324" s="152">
        <f>Table1[[#This Row],[RERA Carpet Area (Sq. Ft.)]]*1.1</f>
        <v>392.62766399999998</v>
      </c>
      <c r="M324" s="153" t="s">
        <v>167</v>
      </c>
      <c r="N324" s="152" t="s">
        <v>168</v>
      </c>
      <c r="O324" s="152">
        <v>5853420</v>
      </c>
      <c r="P324" s="174">
        <v>526808</v>
      </c>
      <c r="Q324" s="154">
        <f>Table1[[#This Row],[Agreement Value as per  Excel]]-Table1[[#This Row],[Amt Received as per Excel]]</f>
        <v>5326612</v>
      </c>
      <c r="R324" s="155">
        <f t="shared" si="10"/>
        <v>16399.155205732019</v>
      </c>
      <c r="S324" s="160"/>
      <c r="T324" s="161"/>
      <c r="U324" s="157"/>
    </row>
    <row r="325" spans="2:21" hidden="1" x14ac:dyDescent="0.3">
      <c r="B325" s="148">
        <v>308</v>
      </c>
      <c r="C325" s="148" t="s">
        <v>35</v>
      </c>
      <c r="D325" s="149" t="s">
        <v>217</v>
      </c>
      <c r="E325" s="150">
        <v>502</v>
      </c>
      <c r="F325" s="150" t="s">
        <v>172</v>
      </c>
      <c r="G325" s="150" t="s">
        <v>169</v>
      </c>
      <c r="H325" s="150" t="s">
        <v>170</v>
      </c>
      <c r="I325" s="150" t="str">
        <f>Table1[[#This Row],[Wing]]&amp;-Table1[[#This Row],[Shop No / Office No. / Flat No.]]</f>
        <v>B-502</v>
      </c>
      <c r="J325" s="173">
        <v>58.59</v>
      </c>
      <c r="K325" s="151">
        <f t="shared" si="9"/>
        <v>630.66276000000005</v>
      </c>
      <c r="L325" s="152">
        <f>Table1[[#This Row],[RERA Carpet Area (Sq. Ft.)]]*1.1</f>
        <v>693.72903600000006</v>
      </c>
      <c r="M325" s="153" t="s">
        <v>167</v>
      </c>
      <c r="N325" s="152" t="s">
        <v>167</v>
      </c>
      <c r="O325" s="152"/>
      <c r="P325" s="174"/>
      <c r="Q325" s="154">
        <f>Table1[[#This Row],[Agreement Value as per  Excel]]-Table1[[#This Row],[Amt Received as per Excel]]</f>
        <v>0</v>
      </c>
      <c r="R325" s="155">
        <f t="shared" si="10"/>
        <v>0</v>
      </c>
      <c r="S325" s="160"/>
      <c r="T325" s="161"/>
      <c r="U325" s="157"/>
    </row>
    <row r="326" spans="2:21" hidden="1" x14ac:dyDescent="0.3">
      <c r="B326" s="148">
        <v>309</v>
      </c>
      <c r="C326" s="148" t="s">
        <v>35</v>
      </c>
      <c r="D326" s="149" t="s">
        <v>217</v>
      </c>
      <c r="E326" s="150">
        <v>503</v>
      </c>
      <c r="F326" s="150" t="s">
        <v>172</v>
      </c>
      <c r="G326" s="150" t="s">
        <v>169</v>
      </c>
      <c r="H326" s="150" t="s">
        <v>170</v>
      </c>
      <c r="I326" s="150" t="str">
        <f>Table1[[#This Row],[Wing]]&amp;-Table1[[#This Row],[Shop No / Office No. / Flat No.]]</f>
        <v>B-503</v>
      </c>
      <c r="J326" s="173">
        <v>58.59</v>
      </c>
      <c r="K326" s="151">
        <f t="shared" si="9"/>
        <v>630.66276000000005</v>
      </c>
      <c r="L326" s="152">
        <f>Table1[[#This Row],[RERA Carpet Area (Sq. Ft.)]]*1.1</f>
        <v>693.72903600000006</v>
      </c>
      <c r="M326" s="153" t="s">
        <v>167</v>
      </c>
      <c r="N326" s="152" t="s">
        <v>167</v>
      </c>
      <c r="O326" s="152"/>
      <c r="P326" s="174"/>
      <c r="Q326" s="154">
        <f>Table1[[#This Row],[Agreement Value as per  Excel]]-Table1[[#This Row],[Amt Received as per Excel]]</f>
        <v>0</v>
      </c>
      <c r="R326" s="155">
        <f t="shared" si="10"/>
        <v>0</v>
      </c>
      <c r="S326" s="160"/>
      <c r="T326" s="161"/>
      <c r="U326" s="157"/>
    </row>
    <row r="327" spans="2:21" x14ac:dyDescent="0.3">
      <c r="B327" s="148">
        <v>310</v>
      </c>
      <c r="C327" s="148" t="s">
        <v>35</v>
      </c>
      <c r="D327" s="149" t="s">
        <v>217</v>
      </c>
      <c r="E327" s="150">
        <v>504</v>
      </c>
      <c r="F327" s="150" t="s">
        <v>173</v>
      </c>
      <c r="G327" s="150" t="s">
        <v>169</v>
      </c>
      <c r="H327" s="150" t="s">
        <v>170</v>
      </c>
      <c r="I327" s="150" t="str">
        <f>Table1[[#This Row],[Wing]]&amp;-Table1[[#This Row],[Shop No / Office No. / Flat No.]]</f>
        <v>B-504</v>
      </c>
      <c r="J327" s="173">
        <v>33.159999999999997</v>
      </c>
      <c r="K327" s="151">
        <f t="shared" si="9"/>
        <v>356.93423999999993</v>
      </c>
      <c r="L327" s="152">
        <f>Table1[[#This Row],[RERA Carpet Area (Sq. Ft.)]]*1.1</f>
        <v>392.62766399999998</v>
      </c>
      <c r="M327" s="153" t="s">
        <v>211</v>
      </c>
      <c r="N327" s="152" t="s">
        <v>266</v>
      </c>
      <c r="O327" s="152"/>
      <c r="P327" s="174"/>
      <c r="Q327" s="154">
        <f>Table1[[#This Row],[Agreement Value as per  Excel]]-Table1[[#This Row],[Amt Received as per Excel]]</f>
        <v>0</v>
      </c>
      <c r="R327" s="155">
        <f t="shared" si="10"/>
        <v>0</v>
      </c>
      <c r="S327" s="160"/>
      <c r="T327" s="161"/>
      <c r="U327" s="157"/>
    </row>
    <row r="328" spans="2:21" x14ac:dyDescent="0.3">
      <c r="B328" s="148">
        <v>311</v>
      </c>
      <c r="C328" s="148" t="s">
        <v>35</v>
      </c>
      <c r="D328" s="149" t="s">
        <v>217</v>
      </c>
      <c r="E328" s="150">
        <v>505</v>
      </c>
      <c r="F328" s="150" t="s">
        <v>173</v>
      </c>
      <c r="G328" s="150" t="s">
        <v>169</v>
      </c>
      <c r="H328" s="150" t="s">
        <v>166</v>
      </c>
      <c r="I328" s="150" t="str">
        <f>Table1[[#This Row],[Wing]]&amp;-Table1[[#This Row],[Shop No / Office No. / Flat No.]]</f>
        <v>B-505</v>
      </c>
      <c r="J328" s="173">
        <v>33.44</v>
      </c>
      <c r="K328" s="151">
        <f t="shared" si="9"/>
        <v>359.94815999999997</v>
      </c>
      <c r="L328" s="152">
        <f>Table1[[#This Row],[RERA Carpet Area (Sq. Ft.)]]*1.1</f>
        <v>395.94297599999999</v>
      </c>
      <c r="M328" s="153" t="s">
        <v>211</v>
      </c>
      <c r="N328" s="152" t="s">
        <v>266</v>
      </c>
      <c r="O328" s="152"/>
      <c r="P328" s="174"/>
      <c r="Q328" s="154">
        <f>Table1[[#This Row],[Agreement Value as per  Excel]]-Table1[[#This Row],[Amt Received as per Excel]]</f>
        <v>0</v>
      </c>
      <c r="R328" s="155">
        <f t="shared" si="10"/>
        <v>0</v>
      </c>
      <c r="S328" s="160"/>
      <c r="T328" s="161"/>
      <c r="U328" s="157"/>
    </row>
    <row r="329" spans="2:21" x14ac:dyDescent="0.3">
      <c r="B329" s="148">
        <v>312</v>
      </c>
      <c r="C329" s="148" t="s">
        <v>35</v>
      </c>
      <c r="D329" s="149" t="s">
        <v>217</v>
      </c>
      <c r="E329" s="150">
        <v>506</v>
      </c>
      <c r="F329" s="150" t="s">
        <v>173</v>
      </c>
      <c r="G329" s="150" t="s">
        <v>169</v>
      </c>
      <c r="H329" s="150" t="s">
        <v>166</v>
      </c>
      <c r="I329" s="150" t="str">
        <f>Table1[[#This Row],[Wing]]&amp;-Table1[[#This Row],[Shop No / Office No. / Flat No.]]</f>
        <v>B-506</v>
      </c>
      <c r="J329" s="173">
        <v>33.44</v>
      </c>
      <c r="K329" s="151">
        <f t="shared" si="9"/>
        <v>359.94815999999997</v>
      </c>
      <c r="L329" s="152">
        <f>Table1[[#This Row],[RERA Carpet Area (Sq. Ft.)]]*1.1</f>
        <v>395.94297599999999</v>
      </c>
      <c r="M329" s="153" t="s">
        <v>211</v>
      </c>
      <c r="N329" s="152" t="s">
        <v>265</v>
      </c>
      <c r="O329" s="267">
        <v>877500</v>
      </c>
      <c r="P329" s="270">
        <v>877500</v>
      </c>
      <c r="Q329" s="154">
        <f>Table1[[#This Row],[Agreement Value as per  Excel]]-Table1[[#This Row],[Amt Received as per Excel]]</f>
        <v>0</v>
      </c>
      <c r="R329" s="155">
        <f t="shared" si="10"/>
        <v>2437.8510505512795</v>
      </c>
      <c r="S329" s="160"/>
      <c r="T329" s="161"/>
      <c r="U329" s="157"/>
    </row>
    <row r="330" spans="2:21" hidden="1" x14ac:dyDescent="0.3">
      <c r="B330" s="148">
        <v>313</v>
      </c>
      <c r="C330" s="148" t="s">
        <v>35</v>
      </c>
      <c r="D330" s="149" t="s">
        <v>217</v>
      </c>
      <c r="E330" s="150">
        <v>507</v>
      </c>
      <c r="F330" s="150" t="s">
        <v>174</v>
      </c>
      <c r="G330" s="150" t="s">
        <v>169</v>
      </c>
      <c r="H330" s="150" t="s">
        <v>166</v>
      </c>
      <c r="I330" s="150" t="str">
        <f>Table1[[#This Row],[Wing]]&amp;-Table1[[#This Row],[Shop No / Office No. / Flat No.]]</f>
        <v>B-507</v>
      </c>
      <c r="J330" s="175">
        <v>88.58</v>
      </c>
      <c r="K330" s="151">
        <f t="shared" si="9"/>
        <v>953.47511999999995</v>
      </c>
      <c r="L330" s="152">
        <f>Table1[[#This Row],[RERA Carpet Area (Sq. Ft.)]]*1.1</f>
        <v>1048.8226320000001</v>
      </c>
      <c r="M330" s="153" t="s">
        <v>168</v>
      </c>
      <c r="N330" s="152" t="s">
        <v>168</v>
      </c>
      <c r="O330" s="152">
        <v>21392000</v>
      </c>
      <c r="P330" s="174">
        <v>12407361</v>
      </c>
      <c r="Q330" s="154">
        <f>Table1[[#This Row],[Agreement Value as per  Excel]]-Table1[[#This Row],[Amt Received as per Excel]]</f>
        <v>8984639</v>
      </c>
      <c r="R330" s="155">
        <f t="shared" si="10"/>
        <v>22435.824020242922</v>
      </c>
      <c r="S330" s="160"/>
      <c r="T330" s="161"/>
      <c r="U330" s="157"/>
    </row>
    <row r="331" spans="2:21" hidden="1" x14ac:dyDescent="0.3">
      <c r="B331" s="148">
        <v>314</v>
      </c>
      <c r="C331" s="148" t="s">
        <v>35</v>
      </c>
      <c r="D331" s="149" t="s">
        <v>217</v>
      </c>
      <c r="E331" s="150">
        <v>508</v>
      </c>
      <c r="F331" s="150" t="s">
        <v>174</v>
      </c>
      <c r="G331" s="150" t="s">
        <v>169</v>
      </c>
      <c r="H331" s="150" t="s">
        <v>166</v>
      </c>
      <c r="I331" s="150" t="str">
        <f>Table1[[#This Row],[Wing]]&amp;-Table1[[#This Row],[Shop No / Office No. / Flat No.]]</f>
        <v>B-508</v>
      </c>
      <c r="J331" s="175">
        <v>88.58</v>
      </c>
      <c r="K331" s="151">
        <f t="shared" si="9"/>
        <v>953.47511999999995</v>
      </c>
      <c r="L331" s="152">
        <f>Table1[[#This Row],[RERA Carpet Area (Sq. Ft.)]]*1.1</f>
        <v>1048.8226320000001</v>
      </c>
      <c r="M331" s="153" t="s">
        <v>168</v>
      </c>
      <c r="N331" s="152" t="s">
        <v>168</v>
      </c>
      <c r="O331" s="152">
        <v>13128000</v>
      </c>
      <c r="P331" s="174">
        <v>500000</v>
      </c>
      <c r="Q331" s="154">
        <f>Table1[[#This Row],[Agreement Value as per  Excel]]-Table1[[#This Row],[Amt Received as per Excel]]</f>
        <v>12628000</v>
      </c>
      <c r="R331" s="155">
        <f t="shared" si="10"/>
        <v>13768.581607037633</v>
      </c>
      <c r="S331" s="160"/>
      <c r="T331" s="161"/>
      <c r="U331" s="157"/>
    </row>
    <row r="332" spans="2:21" x14ac:dyDescent="0.3">
      <c r="B332" s="148">
        <v>315</v>
      </c>
      <c r="C332" s="148" t="s">
        <v>35</v>
      </c>
      <c r="D332" s="149" t="s">
        <v>217</v>
      </c>
      <c r="E332" s="150">
        <v>509</v>
      </c>
      <c r="F332" s="150" t="s">
        <v>172</v>
      </c>
      <c r="G332" s="150" t="s">
        <v>169</v>
      </c>
      <c r="H332" s="150" t="s">
        <v>166</v>
      </c>
      <c r="I332" s="150" t="str">
        <f>Table1[[#This Row],[Wing]]&amp;-Table1[[#This Row],[Shop No / Office No. / Flat No.]]</f>
        <v>B-509</v>
      </c>
      <c r="J332" s="173">
        <v>65.16</v>
      </c>
      <c r="K332" s="151">
        <f t="shared" si="9"/>
        <v>701.38223999999991</v>
      </c>
      <c r="L332" s="152">
        <f>Table1[[#This Row],[RERA Carpet Area (Sq. Ft.)]]*1.1</f>
        <v>771.52046399999995</v>
      </c>
      <c r="M332" s="153" t="s">
        <v>211</v>
      </c>
      <c r="N332" s="152" t="s">
        <v>265</v>
      </c>
      <c r="O332" s="267">
        <f>244.38*20000</f>
        <v>4887600</v>
      </c>
      <c r="P332" s="270">
        <v>0</v>
      </c>
      <c r="Q332" s="154">
        <f>Table1[[#This Row],[Agreement Value as per  Excel]]-Table1[[#This Row],[Amt Received as per Excel]]</f>
        <v>4887600</v>
      </c>
      <c r="R332" s="155">
        <f t="shared" si="10"/>
        <v>6968.5254648021892</v>
      </c>
      <c r="S332" s="160"/>
      <c r="T332" s="161"/>
      <c r="U332" s="157"/>
    </row>
    <row r="333" spans="2:21" hidden="1" x14ac:dyDescent="0.3">
      <c r="B333" s="148">
        <v>316</v>
      </c>
      <c r="C333" s="148" t="s">
        <v>35</v>
      </c>
      <c r="D333" s="149" t="s">
        <v>217</v>
      </c>
      <c r="E333" s="150">
        <v>510</v>
      </c>
      <c r="F333" s="150" t="s">
        <v>172</v>
      </c>
      <c r="G333" s="150" t="s">
        <v>169</v>
      </c>
      <c r="H333" s="150" t="s">
        <v>166</v>
      </c>
      <c r="I333" s="150" t="str">
        <f>Table1[[#This Row],[Wing]]&amp;-Table1[[#This Row],[Shop No / Office No. / Flat No.]]</f>
        <v>B-510</v>
      </c>
      <c r="J333" s="175">
        <v>65.16</v>
      </c>
      <c r="K333" s="151">
        <f t="shared" si="9"/>
        <v>701.38223999999991</v>
      </c>
      <c r="L333" s="152">
        <f>Table1[[#This Row],[RERA Carpet Area (Sq. Ft.)]]*1.1</f>
        <v>771.52046399999995</v>
      </c>
      <c r="M333" s="153" t="s">
        <v>168</v>
      </c>
      <c r="N333" s="152" t="s">
        <v>168</v>
      </c>
      <c r="O333" s="152">
        <v>13146001</v>
      </c>
      <c r="P333" s="174">
        <v>7756140</v>
      </c>
      <c r="Q333" s="154">
        <f>Table1[[#This Row],[Agreement Value as per  Excel]]-Table1[[#This Row],[Amt Received as per Excel]]</f>
        <v>5389861</v>
      </c>
      <c r="R333" s="155">
        <f t="shared" si="10"/>
        <v>18742.990983062249</v>
      </c>
      <c r="S333" s="160"/>
      <c r="T333" s="161"/>
      <c r="U333" s="157"/>
    </row>
    <row r="334" spans="2:21" x14ac:dyDescent="0.3">
      <c r="B334" s="148">
        <v>317</v>
      </c>
      <c r="C334" s="148" t="s">
        <v>35</v>
      </c>
      <c r="D334" s="149" t="s">
        <v>218</v>
      </c>
      <c r="E334" s="150">
        <v>601</v>
      </c>
      <c r="F334" s="150" t="s">
        <v>173</v>
      </c>
      <c r="G334" s="150" t="s">
        <v>169</v>
      </c>
      <c r="H334" s="150" t="s">
        <v>170</v>
      </c>
      <c r="I334" s="150" t="str">
        <f>Table1[[#This Row],[Wing]]&amp;-Table1[[#This Row],[Shop No / Office No. / Flat No.]]</f>
        <v>B-601</v>
      </c>
      <c r="J334" s="173">
        <v>33.11</v>
      </c>
      <c r="K334" s="151">
        <f t="shared" si="9"/>
        <v>356.39603999999997</v>
      </c>
      <c r="L334" s="152">
        <f>Table1[[#This Row],[RERA Carpet Area (Sq. Ft.)]]*1.1</f>
        <v>392.03564399999999</v>
      </c>
      <c r="M334" s="153" t="s">
        <v>211</v>
      </c>
      <c r="N334" s="152" t="s">
        <v>266</v>
      </c>
      <c r="O334" s="152"/>
      <c r="P334" s="174"/>
      <c r="Q334" s="154">
        <f>Table1[[#This Row],[Agreement Value as per  Excel]]-Table1[[#This Row],[Amt Received as per Excel]]</f>
        <v>0</v>
      </c>
      <c r="R334" s="155">
        <f t="shared" si="10"/>
        <v>0</v>
      </c>
      <c r="S334" s="160"/>
      <c r="T334" s="161"/>
      <c r="U334" s="157"/>
    </row>
    <row r="335" spans="2:21" hidden="1" x14ac:dyDescent="0.3">
      <c r="B335" s="148">
        <v>318</v>
      </c>
      <c r="C335" s="148" t="s">
        <v>35</v>
      </c>
      <c r="D335" s="149" t="s">
        <v>218</v>
      </c>
      <c r="E335" s="150">
        <v>602</v>
      </c>
      <c r="F335" s="150" t="s">
        <v>172</v>
      </c>
      <c r="G335" s="150" t="s">
        <v>169</v>
      </c>
      <c r="H335" s="150" t="s">
        <v>170</v>
      </c>
      <c r="I335" s="150" t="str">
        <f>Table1[[#This Row],[Wing]]&amp;-Table1[[#This Row],[Shop No / Office No. / Flat No.]]</f>
        <v>B-602</v>
      </c>
      <c r="J335" s="173">
        <v>62.04</v>
      </c>
      <c r="K335" s="151">
        <f t="shared" si="9"/>
        <v>667.79855999999995</v>
      </c>
      <c r="L335" s="152">
        <f>Table1[[#This Row],[RERA Carpet Area (Sq. Ft.)]]*1.1</f>
        <v>734.57841600000006</v>
      </c>
      <c r="M335" s="153" t="s">
        <v>211</v>
      </c>
      <c r="N335" s="152" t="s">
        <v>168</v>
      </c>
      <c r="O335" s="152">
        <v>12545918</v>
      </c>
      <c r="P335" s="174">
        <v>1100000</v>
      </c>
      <c r="Q335" s="154">
        <f>Table1[[#This Row],[Agreement Value as per  Excel]]-Table1[[#This Row],[Amt Received as per Excel]]</f>
        <v>11445918</v>
      </c>
      <c r="R335" s="155">
        <f t="shared" si="10"/>
        <v>18786.979714361769</v>
      </c>
      <c r="S335" s="160"/>
      <c r="T335" s="161"/>
      <c r="U335" s="157"/>
    </row>
    <row r="336" spans="2:21" hidden="1" x14ac:dyDescent="0.3">
      <c r="B336" s="148">
        <v>319</v>
      </c>
      <c r="C336" s="148" t="s">
        <v>35</v>
      </c>
      <c r="D336" s="149" t="s">
        <v>218</v>
      </c>
      <c r="E336" s="150">
        <v>603</v>
      </c>
      <c r="F336" s="150" t="s">
        <v>172</v>
      </c>
      <c r="G336" s="150" t="s">
        <v>169</v>
      </c>
      <c r="H336" s="150" t="s">
        <v>170</v>
      </c>
      <c r="I336" s="150" t="str">
        <f>Table1[[#This Row],[Wing]]&amp;-Table1[[#This Row],[Shop No / Office No. / Flat No.]]</f>
        <v>B-603</v>
      </c>
      <c r="J336" s="175">
        <v>62.04</v>
      </c>
      <c r="K336" s="151">
        <f t="shared" si="9"/>
        <v>667.79855999999995</v>
      </c>
      <c r="L336" s="152">
        <f>Table1[[#This Row],[RERA Carpet Area (Sq. Ft.)]]*1.1</f>
        <v>734.57841600000006</v>
      </c>
      <c r="M336" s="153" t="s">
        <v>168</v>
      </c>
      <c r="N336" s="152" t="s">
        <v>168</v>
      </c>
      <c r="O336" s="152">
        <v>12240000</v>
      </c>
      <c r="P336" s="174">
        <v>2024000</v>
      </c>
      <c r="Q336" s="154">
        <f>Table1[[#This Row],[Agreement Value as per  Excel]]-Table1[[#This Row],[Amt Received as per Excel]]</f>
        <v>10216000</v>
      </c>
      <c r="R336" s="155">
        <f t="shared" si="10"/>
        <v>18328.880493542845</v>
      </c>
      <c r="S336" s="160"/>
      <c r="T336" s="161"/>
      <c r="U336" s="157"/>
    </row>
    <row r="337" spans="2:21" x14ac:dyDescent="0.3">
      <c r="B337" s="148">
        <v>320</v>
      </c>
      <c r="C337" s="148" t="s">
        <v>35</v>
      </c>
      <c r="D337" s="149" t="s">
        <v>218</v>
      </c>
      <c r="E337" s="150">
        <v>604</v>
      </c>
      <c r="F337" s="150" t="s">
        <v>173</v>
      </c>
      <c r="G337" s="150" t="s">
        <v>169</v>
      </c>
      <c r="H337" s="150" t="s">
        <v>170</v>
      </c>
      <c r="I337" s="150" t="str">
        <f>Table1[[#This Row],[Wing]]&amp;-Table1[[#This Row],[Shop No / Office No. / Flat No.]]</f>
        <v>B-604</v>
      </c>
      <c r="J337" s="173">
        <v>33.159999999999997</v>
      </c>
      <c r="K337" s="151">
        <f t="shared" si="9"/>
        <v>356.93423999999993</v>
      </c>
      <c r="L337" s="152">
        <f>Table1[[#This Row],[RERA Carpet Area (Sq. Ft.)]]*1.1</f>
        <v>392.62766399999998</v>
      </c>
      <c r="M337" s="153" t="s">
        <v>211</v>
      </c>
      <c r="N337" s="152" t="s">
        <v>266</v>
      </c>
      <c r="O337" s="152"/>
      <c r="P337" s="174"/>
      <c r="Q337" s="154">
        <f>Table1[[#This Row],[Agreement Value as per  Excel]]-Table1[[#This Row],[Amt Received as per Excel]]</f>
        <v>0</v>
      </c>
      <c r="R337" s="155">
        <f t="shared" si="10"/>
        <v>0</v>
      </c>
      <c r="S337" s="160"/>
      <c r="T337" s="161"/>
      <c r="U337" s="157"/>
    </row>
    <row r="338" spans="2:21" x14ac:dyDescent="0.3">
      <c r="B338" s="148">
        <v>321</v>
      </c>
      <c r="C338" s="148" t="s">
        <v>35</v>
      </c>
      <c r="D338" s="149" t="s">
        <v>218</v>
      </c>
      <c r="E338" s="150">
        <v>605</v>
      </c>
      <c r="F338" s="150" t="s">
        <v>253</v>
      </c>
      <c r="G338" s="150" t="s">
        <v>169</v>
      </c>
      <c r="H338" s="150" t="s">
        <v>166</v>
      </c>
      <c r="I338" s="150" t="str">
        <f>Table1[[#This Row],[Wing]]&amp;-Table1[[#This Row],[Shop No / Office No. / Flat No.]]</f>
        <v>B-605</v>
      </c>
      <c r="J338" s="173">
        <v>33.44</v>
      </c>
      <c r="K338" s="151">
        <f t="shared" si="9"/>
        <v>359.94815999999997</v>
      </c>
      <c r="L338" s="152">
        <f>Table1[[#This Row],[RERA Carpet Area (Sq. Ft.)]]*1.1</f>
        <v>395.94297599999999</v>
      </c>
      <c r="M338" s="153" t="s">
        <v>211</v>
      </c>
      <c r="N338" s="152" t="s">
        <v>266</v>
      </c>
      <c r="O338" s="152"/>
      <c r="P338" s="174"/>
      <c r="Q338" s="154">
        <f>Table1[[#This Row],[Agreement Value as per  Excel]]-Table1[[#This Row],[Amt Received as per Excel]]</f>
        <v>0</v>
      </c>
      <c r="R338" s="155">
        <f t="shared" si="10"/>
        <v>0</v>
      </c>
      <c r="S338" s="160"/>
      <c r="T338" s="161"/>
      <c r="U338" s="157"/>
    </row>
    <row r="339" spans="2:21" hidden="1" x14ac:dyDescent="0.3">
      <c r="B339" s="148">
        <v>322</v>
      </c>
      <c r="C339" s="148" t="s">
        <v>35</v>
      </c>
      <c r="D339" s="149" t="s">
        <v>218</v>
      </c>
      <c r="E339" s="150">
        <v>606</v>
      </c>
      <c r="F339" s="150" t="s">
        <v>253</v>
      </c>
      <c r="G339" s="150" t="s">
        <v>169</v>
      </c>
      <c r="H339" s="150" t="s">
        <v>166</v>
      </c>
      <c r="I339" s="150" t="str">
        <f>Table1[[#This Row],[Wing]]&amp;-Table1[[#This Row],[Shop No / Office No. / Flat No.]]</f>
        <v>B-606</v>
      </c>
      <c r="J339" s="173">
        <v>33.44</v>
      </c>
      <c r="K339" s="151">
        <f t="shared" si="9"/>
        <v>359.94815999999997</v>
      </c>
      <c r="L339" s="152">
        <f>Table1[[#This Row],[RERA Carpet Area (Sq. Ft.)]]*1.1</f>
        <v>395.94297599999999</v>
      </c>
      <c r="M339" s="153" t="s">
        <v>167</v>
      </c>
      <c r="N339" s="152" t="s">
        <v>261</v>
      </c>
      <c r="O339" s="152"/>
      <c r="P339" s="174"/>
      <c r="Q339" s="154">
        <f>Table1[[#This Row],[Agreement Value as per  Excel]]-Table1[[#This Row],[Amt Received as per Excel]]</f>
        <v>0</v>
      </c>
      <c r="R339" s="155">
        <f t="shared" si="10"/>
        <v>0</v>
      </c>
      <c r="S339" s="160"/>
      <c r="T339" s="161"/>
      <c r="U339" s="157"/>
    </row>
    <row r="340" spans="2:21" ht="66" x14ac:dyDescent="0.3">
      <c r="B340" s="167">
        <v>323</v>
      </c>
      <c r="C340" s="167" t="s">
        <v>35</v>
      </c>
      <c r="D340" s="169" t="s">
        <v>218</v>
      </c>
      <c r="E340" s="168">
        <v>607</v>
      </c>
      <c r="F340" s="168" t="s">
        <v>174</v>
      </c>
      <c r="G340" s="168" t="s">
        <v>169</v>
      </c>
      <c r="H340" s="168" t="s">
        <v>166</v>
      </c>
      <c r="I340" s="168" t="str">
        <f>Table1[[#This Row],[Wing]]&amp;-Table1[[#This Row],[Shop No / Office No. / Flat No.]]</f>
        <v>B-607</v>
      </c>
      <c r="J340" s="175">
        <v>88.58</v>
      </c>
      <c r="K340" s="159">
        <f t="shared" si="9"/>
        <v>953.47511999999995</v>
      </c>
      <c r="L340" s="170">
        <f>Table1[[#This Row],[RERA Carpet Area (Sq. Ft.)]]*1.1</f>
        <v>1048.8226320000001</v>
      </c>
      <c r="M340" s="171" t="s">
        <v>211</v>
      </c>
      <c r="N340" s="170" t="s">
        <v>265</v>
      </c>
      <c r="O340" s="271">
        <v>1764500</v>
      </c>
      <c r="P340" s="270">
        <v>1764480</v>
      </c>
      <c r="Q340" s="154">
        <f>Table1[[#This Row],[Agreement Value as per  Excel]]-Table1[[#This Row],[Amt Received as per Excel]]</f>
        <v>20</v>
      </c>
      <c r="R340" s="155">
        <f t="shared" si="10"/>
        <v>1850.5988913481037</v>
      </c>
      <c r="S340" s="160" t="s">
        <v>255</v>
      </c>
      <c r="T340" s="161"/>
      <c r="U340" s="157"/>
    </row>
    <row r="341" spans="2:21" hidden="1" x14ac:dyDescent="0.3">
      <c r="B341" s="148">
        <v>324</v>
      </c>
      <c r="C341" s="148" t="s">
        <v>35</v>
      </c>
      <c r="D341" s="149" t="s">
        <v>218</v>
      </c>
      <c r="E341" s="150">
        <v>608</v>
      </c>
      <c r="F341" s="150" t="s">
        <v>174</v>
      </c>
      <c r="G341" s="150" t="s">
        <v>169</v>
      </c>
      <c r="H341" s="150" t="s">
        <v>166</v>
      </c>
      <c r="I341" s="150" t="str">
        <f>Table1[[#This Row],[Wing]]&amp;-Table1[[#This Row],[Shop No / Office No. / Flat No.]]</f>
        <v>B-608</v>
      </c>
      <c r="J341" s="175">
        <v>88.58</v>
      </c>
      <c r="K341" s="151">
        <f t="shared" si="9"/>
        <v>953.47511999999995</v>
      </c>
      <c r="L341" s="152">
        <f>Table1[[#This Row],[RERA Carpet Area (Sq. Ft.)]]*1.1</f>
        <v>1048.8226320000001</v>
      </c>
      <c r="M341" s="153" t="s">
        <v>168</v>
      </c>
      <c r="N341" s="152" t="s">
        <v>168</v>
      </c>
      <c r="O341" s="152">
        <v>15000000</v>
      </c>
      <c r="P341" s="174">
        <v>8810124</v>
      </c>
      <c r="Q341" s="154">
        <f>Table1[[#This Row],[Agreement Value as per  Excel]]-Table1[[#This Row],[Amt Received as per Excel]]</f>
        <v>6189876</v>
      </c>
      <c r="R341" s="155">
        <f t="shared" si="10"/>
        <v>15731.925967821793</v>
      </c>
      <c r="S341" s="160"/>
      <c r="T341" s="161"/>
      <c r="U341" s="157"/>
    </row>
    <row r="342" spans="2:21" ht="66" hidden="1" x14ac:dyDescent="0.3">
      <c r="B342" s="167">
        <v>325</v>
      </c>
      <c r="C342" s="167" t="s">
        <v>35</v>
      </c>
      <c r="D342" s="169" t="s">
        <v>218</v>
      </c>
      <c r="E342" s="168">
        <v>609</v>
      </c>
      <c r="F342" s="168" t="s">
        <v>172</v>
      </c>
      <c r="G342" s="168" t="s">
        <v>169</v>
      </c>
      <c r="H342" s="168" t="s">
        <v>166</v>
      </c>
      <c r="I342" s="168" t="str">
        <f>Table1[[#This Row],[Wing]]&amp;-Table1[[#This Row],[Shop No / Office No. / Flat No.]]</f>
        <v>B-609</v>
      </c>
      <c r="J342" s="175">
        <v>65.16</v>
      </c>
      <c r="K342" s="159">
        <f t="shared" si="9"/>
        <v>701.38223999999991</v>
      </c>
      <c r="L342" s="170">
        <f>Table1[[#This Row],[RERA Carpet Area (Sq. Ft.)]]*1.1</f>
        <v>771.52046399999995</v>
      </c>
      <c r="M342" s="171" t="s">
        <v>211</v>
      </c>
      <c r="N342" s="170" t="s">
        <v>168</v>
      </c>
      <c r="O342" s="170">
        <v>14860360</v>
      </c>
      <c r="P342" s="176">
        <v>8767612</v>
      </c>
      <c r="Q342" s="154">
        <f>Table1[[#This Row],[Agreement Value as per  Excel]]-Table1[[#This Row],[Amt Received as per Excel]]</f>
        <v>6092748</v>
      </c>
      <c r="R342" s="155">
        <f t="shared" si="10"/>
        <v>21187.24876751941</v>
      </c>
      <c r="S342" s="160" t="s">
        <v>255</v>
      </c>
      <c r="T342" s="161"/>
      <c r="U342" s="157"/>
    </row>
    <row r="343" spans="2:21" x14ac:dyDescent="0.3">
      <c r="B343" s="148">
        <v>326</v>
      </c>
      <c r="C343" s="148" t="s">
        <v>35</v>
      </c>
      <c r="D343" s="149" t="s">
        <v>218</v>
      </c>
      <c r="E343" s="150">
        <v>610</v>
      </c>
      <c r="F343" s="150" t="s">
        <v>172</v>
      </c>
      <c r="G343" s="150" t="s">
        <v>169</v>
      </c>
      <c r="H343" s="150" t="s">
        <v>166</v>
      </c>
      <c r="I343" s="150" t="str">
        <f>Table1[[#This Row],[Wing]]&amp;-Table1[[#This Row],[Shop No / Office No. / Flat No.]]</f>
        <v>B-610</v>
      </c>
      <c r="J343" s="173">
        <v>65.16</v>
      </c>
      <c r="K343" s="151">
        <f t="shared" si="9"/>
        <v>701.38223999999991</v>
      </c>
      <c r="L343" s="152">
        <f>Table1[[#This Row],[RERA Carpet Area (Sq. Ft.)]]*1.1</f>
        <v>771.52046399999995</v>
      </c>
      <c r="M343" s="153" t="s">
        <v>211</v>
      </c>
      <c r="N343" s="152" t="s">
        <v>265</v>
      </c>
      <c r="O343" s="272">
        <v>1831500</v>
      </c>
      <c r="P343" s="274">
        <v>1831500</v>
      </c>
      <c r="Q343" s="154">
        <f>Table1[[#This Row],[Agreement Value as per  Excel]]-Table1[[#This Row],[Amt Received as per Excel]]</f>
        <v>0</v>
      </c>
      <c r="R343" s="155">
        <f t="shared" si="10"/>
        <v>2611.2722785795095</v>
      </c>
      <c r="S343" s="160"/>
      <c r="T343" s="161"/>
      <c r="U343" s="157"/>
    </row>
    <row r="344" spans="2:21" x14ac:dyDescent="0.3">
      <c r="B344" s="148">
        <v>327</v>
      </c>
      <c r="C344" s="148" t="s">
        <v>35</v>
      </c>
      <c r="D344" s="149" t="s">
        <v>219</v>
      </c>
      <c r="E344" s="150">
        <v>701</v>
      </c>
      <c r="F344" s="150" t="s">
        <v>173</v>
      </c>
      <c r="G344" s="150" t="s">
        <v>169</v>
      </c>
      <c r="H344" s="150" t="s">
        <v>170</v>
      </c>
      <c r="I344" s="150" t="str">
        <f>Table1[[#This Row],[Wing]]&amp;-Table1[[#This Row],[Shop No / Office No. / Flat No.]]</f>
        <v>B-701</v>
      </c>
      <c r="J344" s="173">
        <v>33.11</v>
      </c>
      <c r="K344" s="151">
        <f t="shared" si="9"/>
        <v>356.39603999999997</v>
      </c>
      <c r="L344" s="152">
        <f>Table1[[#This Row],[RERA Carpet Area (Sq. Ft.)]]*1.1</f>
        <v>392.03564399999999</v>
      </c>
      <c r="M344" s="153" t="s">
        <v>211</v>
      </c>
      <c r="N344" s="152" t="s">
        <v>266</v>
      </c>
      <c r="O344" s="152"/>
      <c r="P344" s="174"/>
      <c r="Q344" s="154">
        <f>Table1[[#This Row],[Agreement Value as per  Excel]]-Table1[[#This Row],[Amt Received as per Excel]]</f>
        <v>0</v>
      </c>
      <c r="R344" s="155">
        <f t="shared" si="10"/>
        <v>0</v>
      </c>
      <c r="S344" s="160"/>
      <c r="T344" s="161"/>
      <c r="U344" s="157"/>
    </row>
    <row r="345" spans="2:21" x14ac:dyDescent="0.3">
      <c r="B345" s="148">
        <v>328</v>
      </c>
      <c r="C345" s="148" t="s">
        <v>35</v>
      </c>
      <c r="D345" s="149" t="s">
        <v>219</v>
      </c>
      <c r="E345" s="150">
        <v>702</v>
      </c>
      <c r="F345" s="150" t="s">
        <v>172</v>
      </c>
      <c r="G345" s="150" t="s">
        <v>169</v>
      </c>
      <c r="H345" s="150" t="s">
        <v>170</v>
      </c>
      <c r="I345" s="150" t="str">
        <f>Table1[[#This Row],[Wing]]&amp;-Table1[[#This Row],[Shop No / Office No. / Flat No.]]</f>
        <v>B-702</v>
      </c>
      <c r="J345" s="173">
        <v>62.04</v>
      </c>
      <c r="K345" s="151">
        <f t="shared" si="9"/>
        <v>667.79855999999995</v>
      </c>
      <c r="L345" s="152">
        <f>Table1[[#This Row],[RERA Carpet Area (Sq. Ft.)]]*1.1</f>
        <v>734.57841600000006</v>
      </c>
      <c r="M345" s="153" t="s">
        <v>211</v>
      </c>
      <c r="N345" s="152" t="s">
        <v>265</v>
      </c>
      <c r="O345" s="267">
        <v>3331650</v>
      </c>
      <c r="P345" s="270">
        <v>2498738</v>
      </c>
      <c r="Q345" s="154">
        <f>Table1[[#This Row],[Agreement Value as per  Excel]]-Table1[[#This Row],[Amt Received as per Excel]]</f>
        <v>832912</v>
      </c>
      <c r="R345" s="155">
        <f t="shared" si="10"/>
        <v>4989.0044686529427</v>
      </c>
      <c r="S345" s="160"/>
      <c r="T345" s="161"/>
      <c r="U345" s="157"/>
    </row>
    <row r="346" spans="2:21" hidden="1" x14ac:dyDescent="0.3">
      <c r="B346" s="148">
        <v>329</v>
      </c>
      <c r="C346" s="148" t="s">
        <v>35</v>
      </c>
      <c r="D346" s="149" t="s">
        <v>219</v>
      </c>
      <c r="E346" s="150">
        <v>703</v>
      </c>
      <c r="F346" s="150" t="s">
        <v>172</v>
      </c>
      <c r="G346" s="150" t="s">
        <v>169</v>
      </c>
      <c r="H346" s="150" t="s">
        <v>170</v>
      </c>
      <c r="I346" s="150" t="str">
        <f>Table1[[#This Row],[Wing]]&amp;-Table1[[#This Row],[Shop No / Office No. / Flat No.]]</f>
        <v>B-703</v>
      </c>
      <c r="J346" s="175">
        <v>62.04</v>
      </c>
      <c r="K346" s="151">
        <f t="shared" si="9"/>
        <v>667.79855999999995</v>
      </c>
      <c r="L346" s="152">
        <f>Table1[[#This Row],[RERA Carpet Area (Sq. Ft.)]]*1.1</f>
        <v>734.57841600000006</v>
      </c>
      <c r="M346" s="153" t="s">
        <v>168</v>
      </c>
      <c r="N346" s="152" t="s">
        <v>168</v>
      </c>
      <c r="O346" s="152">
        <v>12240000</v>
      </c>
      <c r="P346" s="174">
        <v>1892900</v>
      </c>
      <c r="Q346" s="154">
        <f>Table1[[#This Row],[Agreement Value as per  Excel]]-Table1[[#This Row],[Amt Received as per Excel]]</f>
        <v>10347100</v>
      </c>
      <c r="R346" s="155">
        <f t="shared" si="10"/>
        <v>18328.880493542845</v>
      </c>
      <c r="S346" s="160"/>
      <c r="T346" s="161"/>
      <c r="U346" s="157"/>
    </row>
    <row r="347" spans="2:21" x14ac:dyDescent="0.3">
      <c r="B347" s="148">
        <v>330</v>
      </c>
      <c r="C347" s="148" t="s">
        <v>35</v>
      </c>
      <c r="D347" s="149" t="s">
        <v>219</v>
      </c>
      <c r="E347" s="150">
        <v>704</v>
      </c>
      <c r="F347" s="150" t="s">
        <v>173</v>
      </c>
      <c r="G347" s="150" t="s">
        <v>169</v>
      </c>
      <c r="H347" s="150" t="s">
        <v>170</v>
      </c>
      <c r="I347" s="150" t="str">
        <f>Table1[[#This Row],[Wing]]&amp;-Table1[[#This Row],[Shop No / Office No. / Flat No.]]</f>
        <v>B-704</v>
      </c>
      <c r="J347" s="173">
        <v>33.159999999999997</v>
      </c>
      <c r="K347" s="151">
        <f t="shared" si="9"/>
        <v>356.93423999999993</v>
      </c>
      <c r="L347" s="152">
        <f>Table1[[#This Row],[RERA Carpet Area (Sq. Ft.)]]*1.1</f>
        <v>392.62766399999998</v>
      </c>
      <c r="M347" s="153" t="s">
        <v>211</v>
      </c>
      <c r="N347" s="152" t="s">
        <v>266</v>
      </c>
      <c r="O347" s="152"/>
      <c r="P347" s="174"/>
      <c r="Q347" s="154">
        <f>Table1[[#This Row],[Agreement Value as per  Excel]]-Table1[[#This Row],[Amt Received as per Excel]]</f>
        <v>0</v>
      </c>
      <c r="R347" s="155">
        <f t="shared" si="10"/>
        <v>0</v>
      </c>
      <c r="S347" s="160"/>
      <c r="T347" s="161"/>
      <c r="U347" s="157"/>
    </row>
    <row r="348" spans="2:21" hidden="1" x14ac:dyDescent="0.3">
      <c r="B348" s="148">
        <v>331</v>
      </c>
      <c r="C348" s="148" t="s">
        <v>35</v>
      </c>
      <c r="D348" s="149" t="s">
        <v>219</v>
      </c>
      <c r="E348" s="150">
        <v>705</v>
      </c>
      <c r="F348" s="150" t="s">
        <v>253</v>
      </c>
      <c r="G348" s="150" t="s">
        <v>169</v>
      </c>
      <c r="H348" s="150" t="s">
        <v>166</v>
      </c>
      <c r="I348" s="150" t="str">
        <f>Table1[[#This Row],[Wing]]&amp;-Table1[[#This Row],[Shop No / Office No. / Flat No.]]</f>
        <v>B-705</v>
      </c>
      <c r="J348" s="173">
        <v>33.44</v>
      </c>
      <c r="K348" s="151">
        <f t="shared" si="9"/>
        <v>359.94815999999997</v>
      </c>
      <c r="L348" s="152">
        <f>Table1[[#This Row],[RERA Carpet Area (Sq. Ft.)]]*1.1</f>
        <v>395.94297599999999</v>
      </c>
      <c r="M348" s="153" t="s">
        <v>167</v>
      </c>
      <c r="N348" s="152" t="s">
        <v>261</v>
      </c>
      <c r="O348" s="152"/>
      <c r="P348" s="174"/>
      <c r="Q348" s="154">
        <f>Table1[[#This Row],[Agreement Value as per  Excel]]-Table1[[#This Row],[Amt Received as per Excel]]</f>
        <v>0</v>
      </c>
      <c r="R348" s="155">
        <f t="shared" si="10"/>
        <v>0</v>
      </c>
      <c r="S348" s="160"/>
      <c r="T348" s="161"/>
      <c r="U348" s="157"/>
    </row>
    <row r="349" spans="2:21" hidden="1" x14ac:dyDescent="0.3">
      <c r="B349" s="148">
        <v>332</v>
      </c>
      <c r="C349" s="148" t="s">
        <v>35</v>
      </c>
      <c r="D349" s="149" t="s">
        <v>219</v>
      </c>
      <c r="E349" s="150">
        <v>706</v>
      </c>
      <c r="F349" s="150" t="s">
        <v>253</v>
      </c>
      <c r="G349" s="150" t="s">
        <v>169</v>
      </c>
      <c r="H349" s="150" t="s">
        <v>166</v>
      </c>
      <c r="I349" s="150" t="str">
        <f>Table1[[#This Row],[Wing]]&amp;-Table1[[#This Row],[Shop No / Office No. / Flat No.]]</f>
        <v>B-706</v>
      </c>
      <c r="J349" s="173">
        <v>33.44</v>
      </c>
      <c r="K349" s="151">
        <f t="shared" si="9"/>
        <v>359.94815999999997</v>
      </c>
      <c r="L349" s="152">
        <f>Table1[[#This Row],[RERA Carpet Area (Sq. Ft.)]]*1.1</f>
        <v>395.94297599999999</v>
      </c>
      <c r="M349" s="153" t="s">
        <v>167</v>
      </c>
      <c r="N349" s="152" t="s">
        <v>167</v>
      </c>
      <c r="O349" s="152"/>
      <c r="P349" s="174"/>
      <c r="Q349" s="154">
        <f>Table1[[#This Row],[Agreement Value as per  Excel]]-Table1[[#This Row],[Amt Received as per Excel]]</f>
        <v>0</v>
      </c>
      <c r="R349" s="155">
        <f t="shared" si="10"/>
        <v>0</v>
      </c>
      <c r="S349" s="160"/>
      <c r="T349" s="161"/>
      <c r="U349" s="157"/>
    </row>
    <row r="350" spans="2:21" hidden="1" x14ac:dyDescent="0.3">
      <c r="B350" s="148">
        <v>333</v>
      </c>
      <c r="C350" s="148" t="s">
        <v>35</v>
      </c>
      <c r="D350" s="149" t="s">
        <v>219</v>
      </c>
      <c r="E350" s="150">
        <v>707</v>
      </c>
      <c r="F350" s="150" t="s">
        <v>174</v>
      </c>
      <c r="G350" s="150" t="s">
        <v>169</v>
      </c>
      <c r="H350" s="150" t="s">
        <v>166</v>
      </c>
      <c r="I350" s="150" t="str">
        <f>Table1[[#This Row],[Wing]]&amp;-Table1[[#This Row],[Shop No / Office No. / Flat No.]]</f>
        <v>B-707</v>
      </c>
      <c r="J350" s="175">
        <v>88.58</v>
      </c>
      <c r="K350" s="151">
        <f t="shared" si="9"/>
        <v>953.47511999999995</v>
      </c>
      <c r="L350" s="152">
        <f>Table1[[#This Row],[RERA Carpet Area (Sq. Ft.)]]*1.1</f>
        <v>1048.8226320000001</v>
      </c>
      <c r="M350" s="153" t="s">
        <v>168</v>
      </c>
      <c r="N350" s="152" t="s">
        <v>168</v>
      </c>
      <c r="O350" s="152">
        <v>14325000</v>
      </c>
      <c r="P350" s="174">
        <v>14325000</v>
      </c>
      <c r="Q350" s="154">
        <f>Table1[[#This Row],[Agreement Value as per  Excel]]-Table1[[#This Row],[Amt Received as per Excel]]</f>
        <v>0</v>
      </c>
      <c r="R350" s="155">
        <f t="shared" si="10"/>
        <v>15023.989299269813</v>
      </c>
      <c r="S350" s="160"/>
      <c r="T350" s="161"/>
      <c r="U350" s="157"/>
    </row>
    <row r="351" spans="2:21" hidden="1" x14ac:dyDescent="0.3">
      <c r="B351" s="148">
        <v>334</v>
      </c>
      <c r="C351" s="148" t="s">
        <v>35</v>
      </c>
      <c r="D351" s="149" t="s">
        <v>219</v>
      </c>
      <c r="E351" s="150">
        <v>708</v>
      </c>
      <c r="F351" s="150" t="s">
        <v>174</v>
      </c>
      <c r="G351" s="150" t="s">
        <v>169</v>
      </c>
      <c r="H351" s="150" t="s">
        <v>166</v>
      </c>
      <c r="I351" s="150" t="str">
        <f>Table1[[#This Row],[Wing]]&amp;-Table1[[#This Row],[Shop No / Office No. / Flat No.]]</f>
        <v>B-708</v>
      </c>
      <c r="J351" s="175">
        <v>88.58</v>
      </c>
      <c r="K351" s="151">
        <f t="shared" si="9"/>
        <v>953.47511999999995</v>
      </c>
      <c r="L351" s="152">
        <f>Table1[[#This Row],[RERA Carpet Area (Sq. Ft.)]]*1.1</f>
        <v>1048.8226320000001</v>
      </c>
      <c r="M351" s="153" t="s">
        <v>168</v>
      </c>
      <c r="N351" s="152" t="s">
        <v>168</v>
      </c>
      <c r="O351" s="152">
        <v>19100000</v>
      </c>
      <c r="P351" s="174">
        <v>0</v>
      </c>
      <c r="Q351" s="154">
        <f>Table1[[#This Row],[Agreement Value as per  Excel]]-Table1[[#This Row],[Amt Received as per Excel]]</f>
        <v>19100000</v>
      </c>
      <c r="R351" s="155">
        <f t="shared" si="10"/>
        <v>20031.98573235975</v>
      </c>
      <c r="S351" s="160"/>
      <c r="T351" s="161"/>
      <c r="U351" s="157"/>
    </row>
    <row r="352" spans="2:21" hidden="1" x14ac:dyDescent="0.3">
      <c r="B352" s="148">
        <v>335</v>
      </c>
      <c r="C352" s="148" t="s">
        <v>35</v>
      </c>
      <c r="D352" s="149" t="s">
        <v>219</v>
      </c>
      <c r="E352" s="150">
        <v>709</v>
      </c>
      <c r="F352" s="150" t="s">
        <v>172</v>
      </c>
      <c r="G352" s="150" t="s">
        <v>169</v>
      </c>
      <c r="H352" s="150" t="s">
        <v>166</v>
      </c>
      <c r="I352" s="150" t="str">
        <f>Table1[[#This Row],[Wing]]&amp;-Table1[[#This Row],[Shop No / Office No. / Flat No.]]</f>
        <v>B-709</v>
      </c>
      <c r="J352" s="175">
        <v>65.16</v>
      </c>
      <c r="K352" s="151">
        <f t="shared" ref="K352:K415" si="11">IFERROR(J352*10.764,0)</f>
        <v>701.38223999999991</v>
      </c>
      <c r="L352" s="152">
        <f>Table1[[#This Row],[RERA Carpet Area (Sq. Ft.)]]*1.1</f>
        <v>771.52046399999995</v>
      </c>
      <c r="M352" s="153" t="s">
        <v>168</v>
      </c>
      <c r="N352" s="152" t="s">
        <v>168</v>
      </c>
      <c r="O352" s="152">
        <v>14100000</v>
      </c>
      <c r="P352" s="174">
        <v>1069986</v>
      </c>
      <c r="Q352" s="154">
        <f>Table1[[#This Row],[Agreement Value as per  Excel]]-Table1[[#This Row],[Amt Received as per Excel]]</f>
        <v>13030014</v>
      </c>
      <c r="R352" s="155">
        <f t="shared" si="10"/>
        <v>20103.160867033079</v>
      </c>
      <c r="S352" s="160"/>
      <c r="T352" s="161"/>
      <c r="U352" s="157"/>
    </row>
    <row r="353" spans="2:21" hidden="1" x14ac:dyDescent="0.3">
      <c r="B353" s="148">
        <v>336</v>
      </c>
      <c r="C353" s="148" t="s">
        <v>35</v>
      </c>
      <c r="D353" s="149" t="s">
        <v>219</v>
      </c>
      <c r="E353" s="150">
        <v>710</v>
      </c>
      <c r="F353" s="150" t="s">
        <v>172</v>
      </c>
      <c r="G353" s="150" t="s">
        <v>169</v>
      </c>
      <c r="H353" s="150" t="s">
        <v>166</v>
      </c>
      <c r="I353" s="150" t="str">
        <f>Table1[[#This Row],[Wing]]&amp;-Table1[[#This Row],[Shop No / Office No. / Flat No.]]</f>
        <v>B-710</v>
      </c>
      <c r="J353" s="175">
        <v>65.16</v>
      </c>
      <c r="K353" s="151">
        <f t="shared" si="11"/>
        <v>701.38223999999991</v>
      </c>
      <c r="L353" s="152">
        <f>Table1[[#This Row],[RERA Carpet Area (Sq. Ft.)]]*1.1</f>
        <v>771.52046399999995</v>
      </c>
      <c r="M353" s="153" t="s">
        <v>168</v>
      </c>
      <c r="N353" s="152" t="s">
        <v>168</v>
      </c>
      <c r="O353" s="152">
        <v>16038750</v>
      </c>
      <c r="P353" s="174">
        <v>2085037</v>
      </c>
      <c r="Q353" s="154">
        <f>Table1[[#This Row],[Agreement Value as per  Excel]]-Table1[[#This Row],[Amt Received as per Excel]]</f>
        <v>13953713</v>
      </c>
      <c r="R353" s="155">
        <f t="shared" si="10"/>
        <v>22867.345486250124</v>
      </c>
      <c r="S353" s="160"/>
      <c r="T353" s="161"/>
      <c r="U353" s="157"/>
    </row>
    <row r="354" spans="2:21" x14ac:dyDescent="0.3">
      <c r="B354" s="148">
        <v>337</v>
      </c>
      <c r="C354" s="148" t="s">
        <v>35</v>
      </c>
      <c r="D354" s="149" t="s">
        <v>220</v>
      </c>
      <c r="E354" s="150">
        <v>801</v>
      </c>
      <c r="F354" s="150" t="s">
        <v>173</v>
      </c>
      <c r="G354" s="150" t="s">
        <v>169</v>
      </c>
      <c r="H354" s="150" t="s">
        <v>170</v>
      </c>
      <c r="I354" s="150" t="str">
        <f>Table1[[#This Row],[Wing]]&amp;-Table1[[#This Row],[Shop No / Office No. / Flat No.]]</f>
        <v>B-801</v>
      </c>
      <c r="J354" s="173">
        <v>33.159999999999997</v>
      </c>
      <c r="K354" s="151">
        <f t="shared" si="11"/>
        <v>356.93423999999993</v>
      </c>
      <c r="L354" s="152">
        <f>Table1[[#This Row],[RERA Carpet Area (Sq. Ft.)]]*1.1</f>
        <v>392.62766399999998</v>
      </c>
      <c r="M354" s="153" t="s">
        <v>211</v>
      </c>
      <c r="N354" s="152" t="s">
        <v>266</v>
      </c>
      <c r="O354" s="152"/>
      <c r="P354" s="174"/>
      <c r="Q354" s="154">
        <f>Table1[[#This Row],[Agreement Value as per  Excel]]-Table1[[#This Row],[Amt Received as per Excel]]</f>
        <v>0</v>
      </c>
      <c r="R354" s="155">
        <f t="shared" si="10"/>
        <v>0</v>
      </c>
      <c r="S354" s="160"/>
      <c r="T354" s="161"/>
      <c r="U354" s="157"/>
    </row>
    <row r="355" spans="2:21" hidden="1" x14ac:dyDescent="0.3">
      <c r="B355" s="148">
        <v>338</v>
      </c>
      <c r="C355" s="148" t="s">
        <v>35</v>
      </c>
      <c r="D355" s="149" t="s">
        <v>220</v>
      </c>
      <c r="E355" s="150">
        <v>802</v>
      </c>
      <c r="F355" s="150" t="s">
        <v>172</v>
      </c>
      <c r="G355" s="150" t="s">
        <v>169</v>
      </c>
      <c r="H355" s="150" t="s">
        <v>166</v>
      </c>
      <c r="I355" s="150" t="str">
        <f>Table1[[#This Row],[Wing]]&amp;-Table1[[#This Row],[Shop No / Office No. / Flat No.]]</f>
        <v>B-802</v>
      </c>
      <c r="J355" s="175">
        <v>62.04</v>
      </c>
      <c r="K355" s="151">
        <f t="shared" si="11"/>
        <v>667.79855999999995</v>
      </c>
      <c r="L355" s="152">
        <f>Table1[[#This Row],[RERA Carpet Area (Sq. Ft.)]]*1.1</f>
        <v>734.57841600000006</v>
      </c>
      <c r="M355" s="153" t="s">
        <v>168</v>
      </c>
      <c r="N355" s="152" t="s">
        <v>168</v>
      </c>
      <c r="O355" s="152">
        <v>14008000</v>
      </c>
      <c r="P355" s="174">
        <v>3341509</v>
      </c>
      <c r="Q355" s="154">
        <f>Table1[[#This Row],[Agreement Value as per  Excel]]-Table1[[#This Row],[Amt Received as per Excel]]</f>
        <v>10666491</v>
      </c>
      <c r="R355" s="155">
        <f t="shared" si="10"/>
        <v>20976.385453721254</v>
      </c>
      <c r="S355" s="160"/>
      <c r="T355" s="161"/>
      <c r="U355" s="157"/>
    </row>
    <row r="356" spans="2:21" hidden="1" x14ac:dyDescent="0.3">
      <c r="B356" s="148">
        <v>339</v>
      </c>
      <c r="C356" s="148" t="s">
        <v>35</v>
      </c>
      <c r="D356" s="149" t="s">
        <v>220</v>
      </c>
      <c r="E356" s="150">
        <v>803</v>
      </c>
      <c r="F356" s="150" t="s">
        <v>172</v>
      </c>
      <c r="G356" s="150" t="s">
        <v>169</v>
      </c>
      <c r="H356" s="150" t="s">
        <v>166</v>
      </c>
      <c r="I356" s="150" t="str">
        <f>Table1[[#This Row],[Wing]]&amp;-Table1[[#This Row],[Shop No / Office No. / Flat No.]]</f>
        <v>B-803</v>
      </c>
      <c r="J356" s="175">
        <v>62.04</v>
      </c>
      <c r="K356" s="151">
        <f t="shared" si="11"/>
        <v>667.79855999999995</v>
      </c>
      <c r="L356" s="152">
        <f>Table1[[#This Row],[RERA Carpet Area (Sq. Ft.)]]*1.1</f>
        <v>734.57841600000006</v>
      </c>
      <c r="M356" s="153" t="s">
        <v>168</v>
      </c>
      <c r="N356" s="152" t="s">
        <v>168</v>
      </c>
      <c r="O356" s="152">
        <v>14280000</v>
      </c>
      <c r="P356" s="174">
        <v>2999800</v>
      </c>
      <c r="Q356" s="154">
        <f>Table1[[#This Row],[Agreement Value as per  Excel]]-Table1[[#This Row],[Amt Received as per Excel]]</f>
        <v>11280200</v>
      </c>
      <c r="R356" s="155">
        <f t="shared" si="10"/>
        <v>21383.693909133319</v>
      </c>
      <c r="S356" s="160"/>
      <c r="T356" s="161"/>
      <c r="U356" s="157"/>
    </row>
    <row r="357" spans="2:21" x14ac:dyDescent="0.3">
      <c r="B357" s="148">
        <v>340</v>
      </c>
      <c r="C357" s="148" t="s">
        <v>35</v>
      </c>
      <c r="D357" s="149" t="s">
        <v>220</v>
      </c>
      <c r="E357" s="150">
        <v>804</v>
      </c>
      <c r="F357" s="150" t="s">
        <v>173</v>
      </c>
      <c r="G357" s="150" t="s">
        <v>169</v>
      </c>
      <c r="H357" s="150" t="s">
        <v>170</v>
      </c>
      <c r="I357" s="150" t="str">
        <f>Table1[[#This Row],[Wing]]&amp;-Table1[[#This Row],[Shop No / Office No. / Flat No.]]</f>
        <v>B-804</v>
      </c>
      <c r="J357" s="173">
        <v>33.159999999999997</v>
      </c>
      <c r="K357" s="151">
        <f t="shared" si="11"/>
        <v>356.93423999999993</v>
      </c>
      <c r="L357" s="152">
        <f>Table1[[#This Row],[RERA Carpet Area (Sq. Ft.)]]*1.1</f>
        <v>392.62766399999998</v>
      </c>
      <c r="M357" s="153" t="s">
        <v>211</v>
      </c>
      <c r="N357" s="152" t="s">
        <v>266</v>
      </c>
      <c r="O357" s="152"/>
      <c r="P357" s="174"/>
      <c r="Q357" s="154">
        <f>Table1[[#This Row],[Agreement Value as per  Excel]]-Table1[[#This Row],[Amt Received as per Excel]]</f>
        <v>0</v>
      </c>
      <c r="R357" s="155">
        <f t="shared" si="10"/>
        <v>0</v>
      </c>
      <c r="S357" s="160"/>
      <c r="T357" s="161"/>
      <c r="U357" s="157"/>
    </row>
    <row r="358" spans="2:21" hidden="1" x14ac:dyDescent="0.3">
      <c r="B358" s="148">
        <v>341</v>
      </c>
      <c r="C358" s="148" t="s">
        <v>35</v>
      </c>
      <c r="D358" s="149" t="s">
        <v>220</v>
      </c>
      <c r="E358" s="150">
        <v>805</v>
      </c>
      <c r="F358" s="150" t="s">
        <v>172</v>
      </c>
      <c r="G358" s="150" t="s">
        <v>169</v>
      </c>
      <c r="H358" s="150" t="s">
        <v>166</v>
      </c>
      <c r="I358" s="150" t="str">
        <f>Table1[[#This Row],[Wing]]&amp;-Table1[[#This Row],[Shop No / Office No. / Flat No.]]</f>
        <v>B-805</v>
      </c>
      <c r="J358" s="175">
        <v>66.23</v>
      </c>
      <c r="K358" s="151">
        <f t="shared" si="11"/>
        <v>712.89972</v>
      </c>
      <c r="L358" s="152">
        <f>Table1[[#This Row],[RERA Carpet Area (Sq. Ft.)]]*1.1</f>
        <v>784.18969200000004</v>
      </c>
      <c r="M358" s="153" t="s">
        <v>168</v>
      </c>
      <c r="N358" s="152" t="s">
        <v>168</v>
      </c>
      <c r="O358" s="152">
        <v>15510000</v>
      </c>
      <c r="P358" s="174">
        <v>3000000</v>
      </c>
      <c r="Q358" s="154">
        <f>Table1[[#This Row],[Agreement Value as per  Excel]]-Table1[[#This Row],[Amt Received as per Excel]]</f>
        <v>12510000</v>
      </c>
      <c r="R358" s="155">
        <f t="shared" si="10"/>
        <v>21756.215586674658</v>
      </c>
      <c r="S358" s="160"/>
      <c r="T358" s="161"/>
      <c r="U358" s="157"/>
    </row>
    <row r="359" spans="2:21" hidden="1" x14ac:dyDescent="0.3">
      <c r="B359" s="148">
        <v>342</v>
      </c>
      <c r="C359" s="148" t="s">
        <v>35</v>
      </c>
      <c r="D359" s="149" t="s">
        <v>220</v>
      </c>
      <c r="E359" s="150">
        <v>806</v>
      </c>
      <c r="F359" s="150" t="s">
        <v>172</v>
      </c>
      <c r="G359" s="150" t="s">
        <v>169</v>
      </c>
      <c r="H359" s="150" t="s">
        <v>166</v>
      </c>
      <c r="I359" s="150" t="str">
        <f>Table1[[#This Row],[Wing]]&amp;-Table1[[#This Row],[Shop No / Office No. / Flat No.]]</f>
        <v>B-806</v>
      </c>
      <c r="J359" s="175">
        <v>66.23</v>
      </c>
      <c r="K359" s="151">
        <f t="shared" si="11"/>
        <v>712.89972</v>
      </c>
      <c r="L359" s="152">
        <f>Table1[[#This Row],[RERA Carpet Area (Sq. Ft.)]]*1.1</f>
        <v>784.18969200000004</v>
      </c>
      <c r="M359" s="153" t="s">
        <v>168</v>
      </c>
      <c r="N359" s="152" t="s">
        <v>168</v>
      </c>
      <c r="O359" s="152">
        <v>14981250</v>
      </c>
      <c r="P359" s="174">
        <v>8838938</v>
      </c>
      <c r="Q359" s="154">
        <f>Table1[[#This Row],[Agreement Value as per  Excel]]-Table1[[#This Row],[Amt Received as per Excel]]</f>
        <v>6142312</v>
      </c>
      <c r="R359" s="155">
        <f t="shared" si="10"/>
        <v>21014.526418947113</v>
      </c>
      <c r="S359" s="160"/>
      <c r="T359" s="161"/>
      <c r="U359" s="157"/>
    </row>
    <row r="360" spans="2:21" hidden="1" x14ac:dyDescent="0.3">
      <c r="B360" s="148">
        <v>343</v>
      </c>
      <c r="C360" s="148" t="s">
        <v>35</v>
      </c>
      <c r="D360" s="149" t="s">
        <v>220</v>
      </c>
      <c r="E360" s="150">
        <v>807</v>
      </c>
      <c r="F360" s="150" t="s">
        <v>171</v>
      </c>
      <c r="G360" s="150" t="s">
        <v>171</v>
      </c>
      <c r="H360" s="150" t="s">
        <v>171</v>
      </c>
      <c r="I360" s="150" t="str">
        <f>Table1[[#This Row],[Wing]]&amp;-Table1[[#This Row],[Shop No / Office No. / Flat No.]]</f>
        <v>B-807</v>
      </c>
      <c r="J360" s="173"/>
      <c r="K360" s="151">
        <f t="shared" si="11"/>
        <v>0</v>
      </c>
      <c r="L360" s="152">
        <f>Table1[[#This Row],[RERA Carpet Area (Sq. Ft.)]]*1.1</f>
        <v>0</v>
      </c>
      <c r="M360" s="150" t="s">
        <v>171</v>
      </c>
      <c r="N360" s="152" t="s">
        <v>264</v>
      </c>
      <c r="O360" s="152"/>
      <c r="P360" s="174"/>
      <c r="Q360" s="154">
        <f>Table1[[#This Row],[Agreement Value as per  Excel]]-Table1[[#This Row],[Amt Received as per Excel]]</f>
        <v>0</v>
      </c>
      <c r="R360" s="155">
        <f t="shared" si="10"/>
        <v>0</v>
      </c>
      <c r="S360" s="160"/>
      <c r="T360" s="161"/>
      <c r="U360" s="157"/>
    </row>
    <row r="361" spans="2:21" hidden="1" x14ac:dyDescent="0.3">
      <c r="B361" s="148">
        <v>344</v>
      </c>
      <c r="C361" s="148" t="s">
        <v>35</v>
      </c>
      <c r="D361" s="149" t="s">
        <v>220</v>
      </c>
      <c r="E361" s="150">
        <v>808</v>
      </c>
      <c r="F361" s="150" t="s">
        <v>171</v>
      </c>
      <c r="G361" s="150" t="s">
        <v>171</v>
      </c>
      <c r="H361" s="150" t="s">
        <v>171</v>
      </c>
      <c r="I361" s="150" t="str">
        <f>Table1[[#This Row],[Wing]]&amp;-Table1[[#This Row],[Shop No / Office No. / Flat No.]]</f>
        <v>B-808</v>
      </c>
      <c r="J361" s="173"/>
      <c r="K361" s="151">
        <f t="shared" si="11"/>
        <v>0</v>
      </c>
      <c r="L361" s="152">
        <f>Table1[[#This Row],[RERA Carpet Area (Sq. Ft.)]]*1.1</f>
        <v>0</v>
      </c>
      <c r="M361" s="150" t="s">
        <v>171</v>
      </c>
      <c r="N361" s="152" t="s">
        <v>264</v>
      </c>
      <c r="O361" s="152"/>
      <c r="P361" s="174"/>
      <c r="Q361" s="154">
        <f>Table1[[#This Row],[Agreement Value as per  Excel]]-Table1[[#This Row],[Amt Received as per Excel]]</f>
        <v>0</v>
      </c>
      <c r="R361" s="155">
        <f t="shared" si="10"/>
        <v>0</v>
      </c>
      <c r="S361" s="160"/>
      <c r="T361" s="161"/>
      <c r="U361" s="157"/>
    </row>
    <row r="362" spans="2:21" hidden="1" x14ac:dyDescent="0.3">
      <c r="B362" s="148">
        <v>345</v>
      </c>
      <c r="C362" s="148" t="s">
        <v>35</v>
      </c>
      <c r="D362" s="149" t="s">
        <v>220</v>
      </c>
      <c r="E362" s="150">
        <v>809</v>
      </c>
      <c r="F362" s="150" t="s">
        <v>172</v>
      </c>
      <c r="G362" s="150" t="s">
        <v>169</v>
      </c>
      <c r="H362" s="150" t="s">
        <v>166</v>
      </c>
      <c r="I362" s="150" t="str">
        <f>Table1[[#This Row],[Wing]]&amp;-Table1[[#This Row],[Shop No / Office No. / Flat No.]]</f>
        <v>B-809</v>
      </c>
      <c r="J362" s="175">
        <v>65.16</v>
      </c>
      <c r="K362" s="151">
        <f t="shared" si="11"/>
        <v>701.38223999999991</v>
      </c>
      <c r="L362" s="152">
        <f>Table1[[#This Row],[RERA Carpet Area (Sq. Ft.)]]*1.1</f>
        <v>771.52046399999995</v>
      </c>
      <c r="M362" s="153" t="s">
        <v>168</v>
      </c>
      <c r="N362" s="152" t="s">
        <v>168</v>
      </c>
      <c r="O362" s="152">
        <v>16377150</v>
      </c>
      <c r="P362" s="174">
        <v>9508152</v>
      </c>
      <c r="Q362" s="154">
        <f>Table1[[#This Row],[Agreement Value as per  Excel]]-Table1[[#This Row],[Amt Received as per Excel]]</f>
        <v>6868998</v>
      </c>
      <c r="R362" s="155">
        <f t="shared" si="10"/>
        <v>23349.821347058918</v>
      </c>
      <c r="S362" s="160"/>
      <c r="T362" s="161"/>
      <c r="U362" s="157"/>
    </row>
    <row r="363" spans="2:21" hidden="1" x14ac:dyDescent="0.3">
      <c r="B363" s="148">
        <v>346</v>
      </c>
      <c r="C363" s="148" t="s">
        <v>35</v>
      </c>
      <c r="D363" s="149" t="s">
        <v>220</v>
      </c>
      <c r="E363" s="150">
        <v>810</v>
      </c>
      <c r="F363" s="150" t="s">
        <v>172</v>
      </c>
      <c r="G363" s="150" t="s">
        <v>169</v>
      </c>
      <c r="H363" s="150" t="s">
        <v>166</v>
      </c>
      <c r="I363" s="150" t="str">
        <f>Table1[[#This Row],[Wing]]&amp;-Table1[[#This Row],[Shop No / Office No. / Flat No.]]</f>
        <v>B-810</v>
      </c>
      <c r="J363" s="175">
        <v>65.16</v>
      </c>
      <c r="K363" s="151">
        <f t="shared" si="11"/>
        <v>701.38223999999991</v>
      </c>
      <c r="L363" s="152">
        <f>Table1[[#This Row],[RERA Carpet Area (Sq. Ft.)]]*1.1</f>
        <v>771.52046399999995</v>
      </c>
      <c r="M363" s="153" t="s">
        <v>168</v>
      </c>
      <c r="N363" s="152" t="s">
        <v>168</v>
      </c>
      <c r="O363" s="152">
        <v>15157500</v>
      </c>
      <c r="P363" s="174">
        <v>2372950</v>
      </c>
      <c r="Q363" s="154">
        <f>Table1[[#This Row],[Agreement Value as per  Excel]]-Table1[[#This Row],[Amt Received as per Excel]]</f>
        <v>12784550</v>
      </c>
      <c r="R363" s="155">
        <f t="shared" si="10"/>
        <v>21610.897932060558</v>
      </c>
      <c r="S363" s="160"/>
      <c r="T363" s="161"/>
      <c r="U363" s="157"/>
    </row>
    <row r="364" spans="2:21" x14ac:dyDescent="0.3">
      <c r="B364" s="148">
        <v>347</v>
      </c>
      <c r="C364" s="148" t="s">
        <v>35</v>
      </c>
      <c r="D364" s="149" t="s">
        <v>221</v>
      </c>
      <c r="E364" s="150">
        <v>901</v>
      </c>
      <c r="F364" s="150" t="s">
        <v>173</v>
      </c>
      <c r="G364" s="150" t="s">
        <v>169</v>
      </c>
      <c r="H364" s="150" t="s">
        <v>170</v>
      </c>
      <c r="I364" s="150" t="str">
        <f>Table1[[#This Row],[Wing]]&amp;-Table1[[#This Row],[Shop No / Office No. / Flat No.]]</f>
        <v>B-901</v>
      </c>
      <c r="J364" s="173">
        <v>33.159999999999997</v>
      </c>
      <c r="K364" s="151">
        <f t="shared" si="11"/>
        <v>356.93423999999993</v>
      </c>
      <c r="L364" s="152">
        <f>Table1[[#This Row],[RERA Carpet Area (Sq. Ft.)]]*1.1</f>
        <v>392.62766399999998</v>
      </c>
      <c r="M364" s="153" t="s">
        <v>211</v>
      </c>
      <c r="N364" s="152" t="s">
        <v>266</v>
      </c>
      <c r="O364" s="152"/>
      <c r="P364" s="174"/>
      <c r="Q364" s="154">
        <f>Table1[[#This Row],[Agreement Value as per  Excel]]-Table1[[#This Row],[Amt Received as per Excel]]</f>
        <v>0</v>
      </c>
      <c r="R364" s="155">
        <f t="shared" si="10"/>
        <v>0</v>
      </c>
      <c r="S364" s="160"/>
      <c r="T364" s="161"/>
      <c r="U364" s="157"/>
    </row>
    <row r="365" spans="2:21" hidden="1" x14ac:dyDescent="0.3">
      <c r="B365" s="148">
        <v>348</v>
      </c>
      <c r="C365" s="148" t="s">
        <v>35</v>
      </c>
      <c r="D365" s="149" t="s">
        <v>221</v>
      </c>
      <c r="E365" s="150">
        <v>902</v>
      </c>
      <c r="F365" s="150" t="s">
        <v>172</v>
      </c>
      <c r="G365" s="150" t="s">
        <v>169</v>
      </c>
      <c r="H365" s="150" t="s">
        <v>166</v>
      </c>
      <c r="I365" s="150" t="str">
        <f>Table1[[#This Row],[Wing]]&amp;-Table1[[#This Row],[Shop No / Office No. / Flat No.]]</f>
        <v>B-902</v>
      </c>
      <c r="J365" s="175">
        <v>62.04</v>
      </c>
      <c r="K365" s="151">
        <f t="shared" si="11"/>
        <v>667.79855999999995</v>
      </c>
      <c r="L365" s="152">
        <f>Table1[[#This Row],[RERA Carpet Area (Sq. Ft.)]]*1.1</f>
        <v>734.57841600000006</v>
      </c>
      <c r="M365" s="153" t="s">
        <v>168</v>
      </c>
      <c r="N365" s="152" t="s">
        <v>168</v>
      </c>
      <c r="O365" s="152">
        <v>11058480</v>
      </c>
      <c r="P365" s="174">
        <v>3522339</v>
      </c>
      <c r="Q365" s="154">
        <f>Table1[[#This Row],[Agreement Value as per  Excel]]-Table1[[#This Row],[Amt Received as per Excel]]</f>
        <v>7536141</v>
      </c>
      <c r="R365" s="155">
        <f t="shared" si="10"/>
        <v>16559.604441195563</v>
      </c>
      <c r="S365" s="160"/>
      <c r="T365" s="161"/>
      <c r="U365" s="157"/>
    </row>
    <row r="366" spans="2:21" hidden="1" x14ac:dyDescent="0.3">
      <c r="B366" s="148">
        <v>349</v>
      </c>
      <c r="C366" s="148" t="s">
        <v>35</v>
      </c>
      <c r="D366" s="149" t="s">
        <v>221</v>
      </c>
      <c r="E366" s="150">
        <v>903</v>
      </c>
      <c r="F366" s="150" t="s">
        <v>172</v>
      </c>
      <c r="G366" s="150" t="s">
        <v>169</v>
      </c>
      <c r="H366" s="150" t="s">
        <v>166</v>
      </c>
      <c r="I366" s="150" t="str">
        <f>Table1[[#This Row],[Wing]]&amp;-Table1[[#This Row],[Shop No / Office No. / Flat No.]]</f>
        <v>B-903</v>
      </c>
      <c r="J366" s="175">
        <v>62.04</v>
      </c>
      <c r="K366" s="151">
        <f t="shared" si="11"/>
        <v>667.79855999999995</v>
      </c>
      <c r="L366" s="152">
        <f>Table1[[#This Row],[RERA Carpet Area (Sq. Ft.)]]*1.1</f>
        <v>734.57841600000006</v>
      </c>
      <c r="M366" s="153" t="s">
        <v>168</v>
      </c>
      <c r="N366" s="152" t="s">
        <v>168</v>
      </c>
      <c r="O366" s="152">
        <v>12746000</v>
      </c>
      <c r="P366" s="174">
        <v>10392681</v>
      </c>
      <c r="Q366" s="154">
        <f>Table1[[#This Row],[Agreement Value as per  Excel]]-Table1[[#This Row],[Amt Received as per Excel]]</f>
        <v>2353319</v>
      </c>
      <c r="R366" s="155">
        <f t="shared" si="10"/>
        <v>19086.594017213814</v>
      </c>
      <c r="S366" s="160"/>
      <c r="T366" s="161"/>
      <c r="U366" s="157"/>
    </row>
    <row r="367" spans="2:21" x14ac:dyDescent="0.3">
      <c r="B367" s="148">
        <v>350</v>
      </c>
      <c r="C367" s="148" t="s">
        <v>35</v>
      </c>
      <c r="D367" s="149" t="s">
        <v>221</v>
      </c>
      <c r="E367" s="150">
        <v>904</v>
      </c>
      <c r="F367" s="150" t="s">
        <v>173</v>
      </c>
      <c r="G367" s="150" t="s">
        <v>169</v>
      </c>
      <c r="H367" s="150" t="s">
        <v>170</v>
      </c>
      <c r="I367" s="150" t="str">
        <f>Table1[[#This Row],[Wing]]&amp;-Table1[[#This Row],[Shop No / Office No. / Flat No.]]</f>
        <v>B-904</v>
      </c>
      <c r="J367" s="173">
        <v>33.159999999999997</v>
      </c>
      <c r="K367" s="151">
        <f t="shared" si="11"/>
        <v>356.93423999999993</v>
      </c>
      <c r="L367" s="152">
        <f>Table1[[#This Row],[RERA Carpet Area (Sq. Ft.)]]*1.1</f>
        <v>392.62766399999998</v>
      </c>
      <c r="M367" s="153" t="s">
        <v>211</v>
      </c>
      <c r="N367" s="152" t="s">
        <v>266</v>
      </c>
      <c r="O367" s="152"/>
      <c r="P367" s="174"/>
      <c r="Q367" s="154">
        <f>Table1[[#This Row],[Agreement Value as per  Excel]]-Table1[[#This Row],[Amt Received as per Excel]]</f>
        <v>0</v>
      </c>
      <c r="R367" s="155">
        <f t="shared" si="10"/>
        <v>0</v>
      </c>
      <c r="S367" s="160"/>
      <c r="T367" s="161"/>
      <c r="U367" s="157"/>
    </row>
    <row r="368" spans="2:21" hidden="1" x14ac:dyDescent="0.3">
      <c r="B368" s="148">
        <v>351</v>
      </c>
      <c r="C368" s="148" t="s">
        <v>35</v>
      </c>
      <c r="D368" s="149" t="s">
        <v>221</v>
      </c>
      <c r="E368" s="150">
        <v>905</v>
      </c>
      <c r="F368" s="150" t="s">
        <v>172</v>
      </c>
      <c r="G368" s="150" t="s">
        <v>169</v>
      </c>
      <c r="H368" s="150" t="s">
        <v>166</v>
      </c>
      <c r="I368" s="150" t="str">
        <f>Table1[[#This Row],[Wing]]&amp;-Table1[[#This Row],[Shop No / Office No. / Flat No.]]</f>
        <v>B-905</v>
      </c>
      <c r="J368" s="173">
        <v>66.23</v>
      </c>
      <c r="K368" s="151">
        <f t="shared" si="11"/>
        <v>712.89972</v>
      </c>
      <c r="L368" s="152">
        <f>Table1[[#This Row],[RERA Carpet Area (Sq. Ft.)]]*1.1</f>
        <v>784.18969200000004</v>
      </c>
      <c r="M368" s="153" t="s">
        <v>167</v>
      </c>
      <c r="N368" s="152" t="s">
        <v>168</v>
      </c>
      <c r="O368" s="152">
        <v>16567500</v>
      </c>
      <c r="P368" s="174">
        <v>0</v>
      </c>
      <c r="Q368" s="154">
        <f>Table1[[#This Row],[Agreement Value as per  Excel]]-Table1[[#This Row],[Amt Received as per Excel]]</f>
        <v>16567500</v>
      </c>
      <c r="R368" s="155">
        <f t="shared" si="10"/>
        <v>23239.593922129749</v>
      </c>
      <c r="S368" s="160"/>
      <c r="T368" s="161"/>
      <c r="U368" s="157"/>
    </row>
    <row r="369" spans="2:21" x14ac:dyDescent="0.3">
      <c r="B369" s="148">
        <v>352</v>
      </c>
      <c r="C369" s="148" t="s">
        <v>35</v>
      </c>
      <c r="D369" s="149" t="s">
        <v>221</v>
      </c>
      <c r="E369" s="150">
        <v>906</v>
      </c>
      <c r="F369" s="150" t="s">
        <v>172</v>
      </c>
      <c r="G369" s="150" t="s">
        <v>169</v>
      </c>
      <c r="H369" s="150" t="s">
        <v>166</v>
      </c>
      <c r="I369" s="150" t="str">
        <f>Table1[[#This Row],[Wing]]&amp;-Table1[[#This Row],[Shop No / Office No. / Flat No.]]</f>
        <v>B-906</v>
      </c>
      <c r="J369" s="173">
        <v>66.23</v>
      </c>
      <c r="K369" s="151">
        <f t="shared" si="11"/>
        <v>712.89972</v>
      </c>
      <c r="L369" s="152">
        <f>Table1[[#This Row],[RERA Carpet Area (Sq. Ft.)]]*1.1</f>
        <v>784.18969200000004</v>
      </c>
      <c r="M369" s="153" t="s">
        <v>211</v>
      </c>
      <c r="N369" s="152" t="s">
        <v>265</v>
      </c>
      <c r="O369" s="267">
        <v>3440500</v>
      </c>
      <c r="P369" s="270">
        <v>3440500</v>
      </c>
      <c r="Q369" s="154">
        <f>Table1[[#This Row],[Agreement Value as per  Excel]]-Table1[[#This Row],[Amt Received as per Excel]]</f>
        <v>0</v>
      </c>
      <c r="R369" s="155">
        <f t="shared" si="10"/>
        <v>4826.0644568635826</v>
      </c>
      <c r="S369" s="160"/>
      <c r="T369" s="161"/>
      <c r="U369" s="157"/>
    </row>
    <row r="370" spans="2:21" hidden="1" x14ac:dyDescent="0.3">
      <c r="B370" s="148">
        <v>353</v>
      </c>
      <c r="C370" s="148" t="s">
        <v>35</v>
      </c>
      <c r="D370" s="149" t="s">
        <v>221</v>
      </c>
      <c r="E370" s="150">
        <v>907</v>
      </c>
      <c r="F370" s="150" t="s">
        <v>174</v>
      </c>
      <c r="G370" s="150" t="s">
        <v>169</v>
      </c>
      <c r="H370" s="150" t="s">
        <v>166</v>
      </c>
      <c r="I370" s="150" t="str">
        <f>Table1[[#This Row],[Wing]]&amp;-Table1[[#This Row],[Shop No / Office No. / Flat No.]]</f>
        <v>B-907</v>
      </c>
      <c r="J370" s="175">
        <v>88.58</v>
      </c>
      <c r="K370" s="151">
        <f t="shared" si="11"/>
        <v>953.47511999999995</v>
      </c>
      <c r="L370" s="152">
        <f>Table1[[#This Row],[RERA Carpet Area (Sq. Ft.)]]*1.1</f>
        <v>1048.8226320000001</v>
      </c>
      <c r="M370" s="153" t="s">
        <v>168</v>
      </c>
      <c r="N370" s="152" t="s">
        <v>168</v>
      </c>
      <c r="O370" s="152">
        <v>19465000</v>
      </c>
      <c r="P370" s="174">
        <v>2710404</v>
      </c>
      <c r="Q370" s="154">
        <f>Table1[[#This Row],[Agreement Value as per  Excel]]-Table1[[#This Row],[Amt Received as per Excel]]</f>
        <v>16754596</v>
      </c>
      <c r="R370" s="155">
        <f t="shared" si="10"/>
        <v>20414.795930910081</v>
      </c>
      <c r="S370" s="160"/>
      <c r="T370" s="161"/>
      <c r="U370" s="157"/>
    </row>
    <row r="371" spans="2:21" hidden="1" x14ac:dyDescent="0.3">
      <c r="B371" s="148">
        <v>354</v>
      </c>
      <c r="C371" s="148" t="s">
        <v>35</v>
      </c>
      <c r="D371" s="149" t="s">
        <v>221</v>
      </c>
      <c r="E371" s="150">
        <v>908</v>
      </c>
      <c r="F371" s="150" t="s">
        <v>174</v>
      </c>
      <c r="G371" s="150" t="s">
        <v>169</v>
      </c>
      <c r="H371" s="150" t="s">
        <v>166</v>
      </c>
      <c r="I371" s="150" t="str">
        <f>Table1[[#This Row],[Wing]]&amp;-Table1[[#This Row],[Shop No / Office No. / Flat No.]]</f>
        <v>B-908</v>
      </c>
      <c r="J371" s="175">
        <v>88.58</v>
      </c>
      <c r="K371" s="151">
        <f t="shared" si="11"/>
        <v>953.47511999999995</v>
      </c>
      <c r="L371" s="152">
        <f>Table1[[#This Row],[RERA Carpet Area (Sq. Ft.)]]*1.1</f>
        <v>1048.8226320000001</v>
      </c>
      <c r="M371" s="153" t="s">
        <v>168</v>
      </c>
      <c r="N371" s="152" t="s">
        <v>168</v>
      </c>
      <c r="O371" s="152">
        <v>17500000</v>
      </c>
      <c r="P371" s="174">
        <v>10100000</v>
      </c>
      <c r="Q371" s="154">
        <f>Table1[[#This Row],[Agreement Value as per  Excel]]-Table1[[#This Row],[Amt Received as per Excel]]</f>
        <v>7400000</v>
      </c>
      <c r="R371" s="155">
        <f t="shared" si="10"/>
        <v>18353.913629125425</v>
      </c>
      <c r="S371" s="160"/>
      <c r="T371" s="161"/>
      <c r="U371" s="157"/>
    </row>
    <row r="372" spans="2:21" hidden="1" x14ac:dyDescent="0.3">
      <c r="B372" s="148">
        <v>355</v>
      </c>
      <c r="C372" s="148" t="s">
        <v>35</v>
      </c>
      <c r="D372" s="149" t="s">
        <v>221</v>
      </c>
      <c r="E372" s="150">
        <v>909</v>
      </c>
      <c r="F372" s="150" t="s">
        <v>172</v>
      </c>
      <c r="G372" s="150" t="s">
        <v>169</v>
      </c>
      <c r="H372" s="150" t="s">
        <v>166</v>
      </c>
      <c r="I372" s="150" t="str">
        <f>Table1[[#This Row],[Wing]]&amp;-Table1[[#This Row],[Shop No / Office No. / Flat No.]]</f>
        <v>B-909</v>
      </c>
      <c r="J372" s="175">
        <v>65.16</v>
      </c>
      <c r="K372" s="151">
        <f t="shared" si="11"/>
        <v>701.38223999999991</v>
      </c>
      <c r="L372" s="152">
        <f>Table1[[#This Row],[RERA Carpet Area (Sq. Ft.)]]*1.1</f>
        <v>771.52046399999995</v>
      </c>
      <c r="M372" s="153" t="s">
        <v>168</v>
      </c>
      <c r="N372" s="152" t="s">
        <v>168</v>
      </c>
      <c r="O372" s="152">
        <v>10927500</v>
      </c>
      <c r="P372" s="174">
        <v>6447225</v>
      </c>
      <c r="Q372" s="154">
        <f>Table1[[#This Row],[Agreement Value as per  Excel]]-Table1[[#This Row],[Amt Received as per Excel]]</f>
        <v>4480275</v>
      </c>
      <c r="R372" s="155">
        <f t="shared" si="10"/>
        <v>15579.949671950635</v>
      </c>
      <c r="S372" s="160"/>
      <c r="T372" s="161"/>
      <c r="U372" s="157"/>
    </row>
    <row r="373" spans="2:21" hidden="1" x14ac:dyDescent="0.3">
      <c r="B373" s="148">
        <v>356</v>
      </c>
      <c r="C373" s="148" t="s">
        <v>35</v>
      </c>
      <c r="D373" s="149" t="s">
        <v>221</v>
      </c>
      <c r="E373" s="150">
        <v>910</v>
      </c>
      <c r="F373" s="150" t="s">
        <v>172</v>
      </c>
      <c r="G373" s="150" t="s">
        <v>169</v>
      </c>
      <c r="H373" s="150" t="s">
        <v>166</v>
      </c>
      <c r="I373" s="150" t="str">
        <f>Table1[[#This Row],[Wing]]&amp;-Table1[[#This Row],[Shop No / Office No. / Flat No.]]</f>
        <v>B-910</v>
      </c>
      <c r="J373" s="175">
        <v>65.16</v>
      </c>
      <c r="K373" s="151">
        <f t="shared" si="11"/>
        <v>701.38223999999991</v>
      </c>
      <c r="L373" s="152">
        <f>Table1[[#This Row],[RERA Carpet Area (Sq. Ft.)]]*1.1</f>
        <v>771.52046399999995</v>
      </c>
      <c r="M373" s="153" t="s">
        <v>168</v>
      </c>
      <c r="N373" s="152" t="s">
        <v>168</v>
      </c>
      <c r="O373" s="152">
        <v>13042500</v>
      </c>
      <c r="P373" s="174">
        <v>10049000</v>
      </c>
      <c r="Q373" s="154">
        <f>Table1[[#This Row],[Agreement Value as per  Excel]]-Table1[[#This Row],[Amt Received as per Excel]]</f>
        <v>2993500</v>
      </c>
      <c r="R373" s="155">
        <f t="shared" si="10"/>
        <v>18595.423802005596</v>
      </c>
      <c r="S373" s="160"/>
      <c r="T373" s="161"/>
      <c r="U373" s="157"/>
    </row>
    <row r="374" spans="2:21" hidden="1" x14ac:dyDescent="0.3">
      <c r="B374" s="148">
        <v>357</v>
      </c>
      <c r="C374" s="148" t="s">
        <v>35</v>
      </c>
      <c r="D374" s="149" t="s">
        <v>222</v>
      </c>
      <c r="E374" s="150">
        <v>1001</v>
      </c>
      <c r="F374" s="150" t="s">
        <v>173</v>
      </c>
      <c r="G374" s="150" t="s">
        <v>169</v>
      </c>
      <c r="H374" s="150" t="s">
        <v>170</v>
      </c>
      <c r="I374" s="150" t="str">
        <f>Table1[[#This Row],[Wing]]&amp;-Table1[[#This Row],[Shop No / Office No. / Flat No.]]</f>
        <v>B-1001</v>
      </c>
      <c r="J374" s="173">
        <v>33.159999999999997</v>
      </c>
      <c r="K374" s="151">
        <f t="shared" si="11"/>
        <v>356.93423999999993</v>
      </c>
      <c r="L374" s="152">
        <f>Table1[[#This Row],[RERA Carpet Area (Sq. Ft.)]]*1.1</f>
        <v>392.62766399999998</v>
      </c>
      <c r="M374" s="153" t="s">
        <v>167</v>
      </c>
      <c r="N374" s="152" t="s">
        <v>167</v>
      </c>
      <c r="O374" s="152"/>
      <c r="P374" s="174"/>
      <c r="Q374" s="154">
        <f>Table1[[#This Row],[Agreement Value as per  Excel]]-Table1[[#This Row],[Amt Received as per Excel]]</f>
        <v>0</v>
      </c>
      <c r="R374" s="155">
        <f t="shared" si="10"/>
        <v>0</v>
      </c>
      <c r="S374" s="160"/>
      <c r="T374" s="161"/>
      <c r="U374" s="157"/>
    </row>
    <row r="375" spans="2:21" hidden="1" x14ac:dyDescent="0.3">
      <c r="B375" s="148">
        <v>358</v>
      </c>
      <c r="C375" s="148" t="s">
        <v>35</v>
      </c>
      <c r="D375" s="149" t="s">
        <v>222</v>
      </c>
      <c r="E375" s="150">
        <v>1002</v>
      </c>
      <c r="F375" s="150" t="s">
        <v>172</v>
      </c>
      <c r="G375" s="150" t="s">
        <v>169</v>
      </c>
      <c r="H375" s="150" t="s">
        <v>166</v>
      </c>
      <c r="I375" s="150" t="str">
        <f>Table1[[#This Row],[Wing]]&amp;-Table1[[#This Row],[Shop No / Office No. / Flat No.]]</f>
        <v>B-1002</v>
      </c>
      <c r="J375" s="175">
        <v>62.04</v>
      </c>
      <c r="K375" s="151">
        <f t="shared" si="11"/>
        <v>667.79855999999995</v>
      </c>
      <c r="L375" s="152">
        <f>Table1[[#This Row],[RERA Carpet Area (Sq. Ft.)]]*1.1</f>
        <v>734.57841600000006</v>
      </c>
      <c r="M375" s="153" t="s">
        <v>168</v>
      </c>
      <c r="N375" s="152" t="s">
        <v>168</v>
      </c>
      <c r="O375" s="152">
        <v>14840000</v>
      </c>
      <c r="P375" s="174">
        <v>3422200</v>
      </c>
      <c r="Q375" s="154">
        <f>Table1[[#This Row],[Agreement Value as per  Excel]]-Table1[[#This Row],[Amt Received as per Excel]]</f>
        <v>11417800</v>
      </c>
      <c r="R375" s="155">
        <f t="shared" si="10"/>
        <v>22222.270140864039</v>
      </c>
      <c r="S375" s="160"/>
      <c r="T375" s="161"/>
      <c r="U375" s="157"/>
    </row>
    <row r="376" spans="2:21" hidden="1" x14ac:dyDescent="0.3">
      <c r="B376" s="148">
        <v>359</v>
      </c>
      <c r="C376" s="148" t="s">
        <v>35</v>
      </c>
      <c r="D376" s="149" t="s">
        <v>222</v>
      </c>
      <c r="E376" s="150">
        <v>1003</v>
      </c>
      <c r="F376" s="150" t="s">
        <v>172</v>
      </c>
      <c r="G376" s="150" t="s">
        <v>169</v>
      </c>
      <c r="H376" s="150" t="s">
        <v>166</v>
      </c>
      <c r="I376" s="150" t="str">
        <f>Table1[[#This Row],[Wing]]&amp;-Table1[[#This Row],[Shop No / Office No. / Flat No.]]</f>
        <v>B-1003</v>
      </c>
      <c r="J376" s="173">
        <v>62.04</v>
      </c>
      <c r="K376" s="151">
        <f t="shared" si="11"/>
        <v>667.79855999999995</v>
      </c>
      <c r="L376" s="152">
        <f>Table1[[#This Row],[RERA Carpet Area (Sq. Ft.)]]*1.1</f>
        <v>734.57841600000006</v>
      </c>
      <c r="M376" s="153" t="s">
        <v>168</v>
      </c>
      <c r="N376" s="152" t="s">
        <v>168</v>
      </c>
      <c r="O376" s="152">
        <v>14450000</v>
      </c>
      <c r="P376" s="174">
        <v>867000</v>
      </c>
      <c r="Q376" s="154">
        <f>Table1[[#This Row],[Agreement Value as per  Excel]]-Table1[[#This Row],[Amt Received as per Excel]]</f>
        <v>13583000</v>
      </c>
      <c r="R376" s="155">
        <f t="shared" si="10"/>
        <v>21638.261693765857</v>
      </c>
      <c r="S376" s="160"/>
      <c r="T376" s="161"/>
      <c r="U376" s="157"/>
    </row>
    <row r="377" spans="2:21" hidden="1" x14ac:dyDescent="0.3">
      <c r="B377" s="148">
        <v>360</v>
      </c>
      <c r="C377" s="148" t="s">
        <v>35</v>
      </c>
      <c r="D377" s="149" t="s">
        <v>222</v>
      </c>
      <c r="E377" s="150">
        <v>1004</v>
      </c>
      <c r="F377" s="150" t="s">
        <v>173</v>
      </c>
      <c r="G377" s="150" t="s">
        <v>169</v>
      </c>
      <c r="H377" s="150" t="s">
        <v>170</v>
      </c>
      <c r="I377" s="150" t="str">
        <f>Table1[[#This Row],[Wing]]&amp;-Table1[[#This Row],[Shop No / Office No. / Flat No.]]</f>
        <v>B-1004</v>
      </c>
      <c r="J377" s="175">
        <v>33.159999999999997</v>
      </c>
      <c r="K377" s="151">
        <f t="shared" si="11"/>
        <v>356.93423999999993</v>
      </c>
      <c r="L377" s="152">
        <f>Table1[[#This Row],[RERA Carpet Area (Sq. Ft.)]]*1.1</f>
        <v>392.62766399999998</v>
      </c>
      <c r="M377" s="153" t="s">
        <v>168</v>
      </c>
      <c r="N377" s="152" t="s">
        <v>168</v>
      </c>
      <c r="O377" s="152">
        <v>6696000</v>
      </c>
      <c r="P377" s="174">
        <v>2000000</v>
      </c>
      <c r="Q377" s="154">
        <f>Table1[[#This Row],[Agreement Value as per  Excel]]-Table1[[#This Row],[Amt Received as per Excel]]</f>
        <v>4696000</v>
      </c>
      <c r="R377" s="155">
        <f t="shared" si="10"/>
        <v>18759.75809997943</v>
      </c>
      <c r="S377" s="160"/>
      <c r="T377" s="161"/>
      <c r="U377" s="157"/>
    </row>
    <row r="378" spans="2:21" hidden="1" x14ac:dyDescent="0.3">
      <c r="B378" s="148">
        <v>361</v>
      </c>
      <c r="C378" s="148" t="s">
        <v>35</v>
      </c>
      <c r="D378" s="149" t="s">
        <v>222</v>
      </c>
      <c r="E378" s="150">
        <v>1005</v>
      </c>
      <c r="F378" s="150" t="s">
        <v>172</v>
      </c>
      <c r="G378" s="150" t="s">
        <v>169</v>
      </c>
      <c r="H378" s="150" t="s">
        <v>166</v>
      </c>
      <c r="I378" s="150" t="str">
        <f>Table1[[#This Row],[Wing]]&amp;-Table1[[#This Row],[Shop No / Office No. / Flat No.]]</f>
        <v>B-1005</v>
      </c>
      <c r="J378" s="175">
        <v>66.23</v>
      </c>
      <c r="K378" s="151">
        <f t="shared" si="11"/>
        <v>712.89972</v>
      </c>
      <c r="L378" s="152">
        <f>Table1[[#This Row],[RERA Carpet Area (Sq. Ft.)]]*1.1</f>
        <v>784.18969200000004</v>
      </c>
      <c r="M378" s="153" t="s">
        <v>168</v>
      </c>
      <c r="N378" s="152" t="s">
        <v>168</v>
      </c>
      <c r="O378" s="152">
        <v>10575000</v>
      </c>
      <c r="P378" s="174">
        <v>4932193</v>
      </c>
      <c r="Q378" s="154">
        <f>Table1[[#This Row],[Agreement Value as per  Excel]]-Table1[[#This Row],[Amt Received as per Excel]]</f>
        <v>5642807</v>
      </c>
      <c r="R378" s="155">
        <f t="shared" si="10"/>
        <v>14833.783354550904</v>
      </c>
      <c r="S378" s="160"/>
      <c r="T378" s="161"/>
      <c r="U378" s="157"/>
    </row>
    <row r="379" spans="2:21" hidden="1" x14ac:dyDescent="0.3">
      <c r="B379" s="148">
        <v>362</v>
      </c>
      <c r="C379" s="148" t="s">
        <v>35</v>
      </c>
      <c r="D379" s="149" t="s">
        <v>222</v>
      </c>
      <c r="E379" s="150">
        <v>1006</v>
      </c>
      <c r="F379" s="150" t="s">
        <v>172</v>
      </c>
      <c r="G379" s="150" t="s">
        <v>169</v>
      </c>
      <c r="H379" s="150" t="s">
        <v>166</v>
      </c>
      <c r="I379" s="150" t="str">
        <f>Table1[[#This Row],[Wing]]&amp;-Table1[[#This Row],[Shop No / Office No. / Flat No.]]</f>
        <v>B-1006</v>
      </c>
      <c r="J379" s="175">
        <v>66.23</v>
      </c>
      <c r="K379" s="151">
        <f t="shared" si="11"/>
        <v>712.89972</v>
      </c>
      <c r="L379" s="152">
        <f>Table1[[#This Row],[RERA Carpet Area (Sq. Ft.)]]*1.1</f>
        <v>784.18969200000004</v>
      </c>
      <c r="M379" s="153" t="s">
        <v>168</v>
      </c>
      <c r="N379" s="152" t="s">
        <v>168</v>
      </c>
      <c r="O379" s="152">
        <v>10575000</v>
      </c>
      <c r="P379" s="174">
        <v>4937110</v>
      </c>
      <c r="Q379" s="154">
        <f>Table1[[#This Row],[Agreement Value as per  Excel]]-Table1[[#This Row],[Amt Received as per Excel]]</f>
        <v>5637890</v>
      </c>
      <c r="R379" s="155">
        <f t="shared" si="10"/>
        <v>14833.783354550904</v>
      </c>
      <c r="S379" s="160"/>
      <c r="T379" s="161"/>
      <c r="U379" s="157"/>
    </row>
    <row r="380" spans="2:21" hidden="1" x14ac:dyDescent="0.3">
      <c r="B380" s="148">
        <v>363</v>
      </c>
      <c r="C380" s="148" t="s">
        <v>35</v>
      </c>
      <c r="D380" s="149" t="s">
        <v>222</v>
      </c>
      <c r="E380" s="150">
        <v>1007</v>
      </c>
      <c r="F380" s="150" t="s">
        <v>174</v>
      </c>
      <c r="G380" s="150" t="s">
        <v>169</v>
      </c>
      <c r="H380" s="150" t="s">
        <v>166</v>
      </c>
      <c r="I380" s="150" t="str">
        <f>Table1[[#This Row],[Wing]]&amp;-Table1[[#This Row],[Shop No / Office No. / Flat No.]]</f>
        <v>B-1007</v>
      </c>
      <c r="J380" s="173">
        <v>88.58</v>
      </c>
      <c r="K380" s="151">
        <f t="shared" si="11"/>
        <v>953.47511999999995</v>
      </c>
      <c r="L380" s="152">
        <f>Table1[[#This Row],[RERA Carpet Area (Sq. Ft.)]]*1.1</f>
        <v>1048.8226320000001</v>
      </c>
      <c r="M380" s="153" t="s">
        <v>167</v>
      </c>
      <c r="N380" s="152" t="s">
        <v>261</v>
      </c>
      <c r="O380" s="152"/>
      <c r="P380" s="174"/>
      <c r="Q380" s="154">
        <f>Table1[[#This Row],[Agreement Value as per  Excel]]-Table1[[#This Row],[Amt Received as per Excel]]</f>
        <v>0</v>
      </c>
      <c r="R380" s="155">
        <f t="shared" si="10"/>
        <v>0</v>
      </c>
      <c r="S380" s="160"/>
      <c r="T380" s="161"/>
      <c r="U380" s="157"/>
    </row>
    <row r="381" spans="2:21" hidden="1" x14ac:dyDescent="0.3">
      <c r="B381" s="148">
        <v>364</v>
      </c>
      <c r="C381" s="148" t="s">
        <v>35</v>
      </c>
      <c r="D381" s="149" t="s">
        <v>222</v>
      </c>
      <c r="E381" s="150">
        <v>1008</v>
      </c>
      <c r="F381" s="150" t="s">
        <v>174</v>
      </c>
      <c r="G381" s="150" t="s">
        <v>169</v>
      </c>
      <c r="H381" s="150" t="s">
        <v>166</v>
      </c>
      <c r="I381" s="150" t="str">
        <f>Table1[[#This Row],[Wing]]&amp;-Table1[[#This Row],[Shop No / Office No. / Flat No.]]</f>
        <v>B-1008</v>
      </c>
      <c r="J381" s="173">
        <v>88.58</v>
      </c>
      <c r="K381" s="151">
        <f t="shared" si="11"/>
        <v>953.47511999999995</v>
      </c>
      <c r="L381" s="152">
        <f>Table1[[#This Row],[RERA Carpet Area (Sq. Ft.)]]*1.1</f>
        <v>1048.8226320000001</v>
      </c>
      <c r="M381" s="153" t="s">
        <v>167</v>
      </c>
      <c r="N381" s="152" t="s">
        <v>261</v>
      </c>
      <c r="O381" s="152"/>
      <c r="P381" s="174"/>
      <c r="Q381" s="154">
        <f>Table1[[#This Row],[Agreement Value as per  Excel]]-Table1[[#This Row],[Amt Received as per Excel]]</f>
        <v>0</v>
      </c>
      <c r="R381" s="155">
        <f t="shared" si="10"/>
        <v>0</v>
      </c>
      <c r="S381" s="160"/>
      <c r="T381" s="161"/>
      <c r="U381" s="157"/>
    </row>
    <row r="382" spans="2:21" hidden="1" x14ac:dyDescent="0.3">
      <c r="B382" s="148">
        <v>365</v>
      </c>
      <c r="C382" s="148" t="s">
        <v>35</v>
      </c>
      <c r="D382" s="149" t="s">
        <v>222</v>
      </c>
      <c r="E382" s="150">
        <v>1009</v>
      </c>
      <c r="F382" s="150" t="s">
        <v>172</v>
      </c>
      <c r="G382" s="150" t="s">
        <v>169</v>
      </c>
      <c r="H382" s="150" t="s">
        <v>166</v>
      </c>
      <c r="I382" s="150" t="str">
        <f>Table1[[#This Row],[Wing]]&amp;-Table1[[#This Row],[Shop No / Office No. / Flat No.]]</f>
        <v>B-1009</v>
      </c>
      <c r="J382" s="175">
        <v>65.16</v>
      </c>
      <c r="K382" s="151">
        <f t="shared" si="11"/>
        <v>701.38223999999991</v>
      </c>
      <c r="L382" s="152">
        <f>Table1[[#This Row],[RERA Carpet Area (Sq. Ft.)]]*1.1</f>
        <v>771.52046399999995</v>
      </c>
      <c r="M382" s="153" t="s">
        <v>168</v>
      </c>
      <c r="N382" s="152" t="s">
        <v>168</v>
      </c>
      <c r="O382" s="152">
        <v>11280000</v>
      </c>
      <c r="P382" s="174">
        <v>7219200</v>
      </c>
      <c r="Q382" s="154">
        <f>Table1[[#This Row],[Agreement Value as per  Excel]]-Table1[[#This Row],[Amt Received as per Excel]]</f>
        <v>4060800</v>
      </c>
      <c r="R382" s="155">
        <f t="shared" si="10"/>
        <v>16082.528693626462</v>
      </c>
      <c r="S382" s="160"/>
      <c r="T382" s="161"/>
      <c r="U382" s="157"/>
    </row>
    <row r="383" spans="2:21" x14ac:dyDescent="0.3">
      <c r="B383" s="148">
        <v>366</v>
      </c>
      <c r="C383" s="148" t="s">
        <v>35</v>
      </c>
      <c r="D383" s="149" t="s">
        <v>222</v>
      </c>
      <c r="E383" s="150">
        <v>1010</v>
      </c>
      <c r="F383" s="150" t="s">
        <v>172</v>
      </c>
      <c r="G383" s="150" t="s">
        <v>169</v>
      </c>
      <c r="H383" s="150" t="s">
        <v>166</v>
      </c>
      <c r="I383" s="150" t="str">
        <f>Table1[[#This Row],[Wing]]&amp;-Table1[[#This Row],[Shop No / Office No. / Flat No.]]</f>
        <v>B-1010</v>
      </c>
      <c r="J383" s="173">
        <v>65.16</v>
      </c>
      <c r="K383" s="151">
        <f t="shared" si="11"/>
        <v>701.38223999999991</v>
      </c>
      <c r="L383" s="152">
        <f>Table1[[#This Row],[RERA Carpet Area (Sq. Ft.)]]*1.1</f>
        <v>771.52046399999995</v>
      </c>
      <c r="M383" s="153" t="s">
        <v>211</v>
      </c>
      <c r="N383" s="152" t="s">
        <v>265</v>
      </c>
      <c r="O383" s="267">
        <v>6068500</v>
      </c>
      <c r="P383" s="270">
        <v>5950000</v>
      </c>
      <c r="Q383" s="154">
        <f>Table1[[#This Row],[Agreement Value as per  Excel]]-Table1[[#This Row],[Amt Received as per Excel]]</f>
        <v>118500</v>
      </c>
      <c r="R383" s="155">
        <f t="shared" si="10"/>
        <v>8652.200831318456</v>
      </c>
      <c r="S383" s="160"/>
      <c r="T383" s="161"/>
      <c r="U383" s="157"/>
    </row>
    <row r="384" spans="2:21" x14ac:dyDescent="0.3">
      <c r="B384" s="148">
        <v>367</v>
      </c>
      <c r="C384" s="148" t="s">
        <v>35</v>
      </c>
      <c r="D384" s="149" t="s">
        <v>223</v>
      </c>
      <c r="E384" s="150">
        <v>1101</v>
      </c>
      <c r="F384" s="150" t="s">
        <v>173</v>
      </c>
      <c r="G384" s="150" t="s">
        <v>169</v>
      </c>
      <c r="H384" s="150" t="s">
        <v>170</v>
      </c>
      <c r="I384" s="150" t="str">
        <f>Table1[[#This Row],[Wing]]&amp;-Table1[[#This Row],[Shop No / Office No. / Flat No.]]</f>
        <v>B-1101</v>
      </c>
      <c r="J384" s="173">
        <v>33.159999999999997</v>
      </c>
      <c r="K384" s="151">
        <f t="shared" si="11"/>
        <v>356.93423999999993</v>
      </c>
      <c r="L384" s="152">
        <f>Table1[[#This Row],[RERA Carpet Area (Sq. Ft.)]]*1.1</f>
        <v>392.62766399999998</v>
      </c>
      <c r="M384" s="153" t="s">
        <v>211</v>
      </c>
      <c r="N384" s="152" t="s">
        <v>266</v>
      </c>
      <c r="O384" s="152"/>
      <c r="P384" s="174"/>
      <c r="Q384" s="154">
        <f>Table1[[#This Row],[Agreement Value as per  Excel]]-Table1[[#This Row],[Amt Received as per Excel]]</f>
        <v>0</v>
      </c>
      <c r="R384" s="155">
        <f t="shared" si="10"/>
        <v>0</v>
      </c>
      <c r="S384" s="160"/>
      <c r="T384" s="161"/>
      <c r="U384" s="157"/>
    </row>
    <row r="385" spans="2:21" hidden="1" x14ac:dyDescent="0.3">
      <c r="B385" s="148">
        <v>368</v>
      </c>
      <c r="C385" s="148" t="s">
        <v>35</v>
      </c>
      <c r="D385" s="149" t="s">
        <v>223</v>
      </c>
      <c r="E385" s="150">
        <v>1102</v>
      </c>
      <c r="F385" s="150" t="s">
        <v>172</v>
      </c>
      <c r="G385" s="150" t="s">
        <v>169</v>
      </c>
      <c r="H385" s="150" t="s">
        <v>166</v>
      </c>
      <c r="I385" s="150" t="str">
        <f>Table1[[#This Row],[Wing]]&amp;-Table1[[#This Row],[Shop No / Office No. / Flat No.]]</f>
        <v>B-1102</v>
      </c>
      <c r="J385" s="173">
        <v>62.04</v>
      </c>
      <c r="K385" s="151">
        <f t="shared" si="11"/>
        <v>667.79855999999995</v>
      </c>
      <c r="L385" s="152">
        <f>Table1[[#This Row],[RERA Carpet Area (Sq. Ft.)]]*1.1</f>
        <v>734.57841600000006</v>
      </c>
      <c r="M385" s="153" t="s">
        <v>211</v>
      </c>
      <c r="N385" s="152" t="s">
        <v>168</v>
      </c>
      <c r="O385" s="152">
        <v>11792560</v>
      </c>
      <c r="P385" s="174">
        <v>2900000</v>
      </c>
      <c r="Q385" s="154">
        <f>Table1[[#This Row],[Agreement Value as per  Excel]]-Table1[[#This Row],[Amt Received as per Excel]]</f>
        <v>8892560</v>
      </c>
      <c r="R385" s="155">
        <f t="shared" si="10"/>
        <v>17658.858084390002</v>
      </c>
      <c r="S385" s="160"/>
      <c r="T385" s="161"/>
      <c r="U385" s="157"/>
    </row>
    <row r="386" spans="2:21" x14ac:dyDescent="0.3">
      <c r="B386" s="148">
        <v>369</v>
      </c>
      <c r="C386" s="148" t="s">
        <v>35</v>
      </c>
      <c r="D386" s="149" t="s">
        <v>223</v>
      </c>
      <c r="E386" s="150">
        <v>1103</v>
      </c>
      <c r="F386" s="150" t="s">
        <v>172</v>
      </c>
      <c r="G386" s="150" t="s">
        <v>169</v>
      </c>
      <c r="H386" s="150" t="s">
        <v>166</v>
      </c>
      <c r="I386" s="150" t="str">
        <f>Table1[[#This Row],[Wing]]&amp;-Table1[[#This Row],[Shop No / Office No. / Flat No.]]</f>
        <v>B-1103</v>
      </c>
      <c r="J386" s="173">
        <v>62.04</v>
      </c>
      <c r="K386" s="151">
        <f t="shared" si="11"/>
        <v>667.79855999999995</v>
      </c>
      <c r="L386" s="152">
        <f>Table1[[#This Row],[RERA Carpet Area (Sq. Ft.)]]*1.1</f>
        <v>734.57841600000006</v>
      </c>
      <c r="M386" s="153" t="s">
        <v>211</v>
      </c>
      <c r="N386" s="152" t="s">
        <v>265</v>
      </c>
      <c r="O386" s="272">
        <v>3975500</v>
      </c>
      <c r="P386" s="274">
        <v>2007102</v>
      </c>
      <c r="Q386" s="154">
        <f>Table1[[#This Row],[Agreement Value as per  Excel]]-Table1[[#This Row],[Amt Received as per Excel]]</f>
        <v>1968398</v>
      </c>
      <c r="R386" s="155">
        <f t="shared" si="10"/>
        <v>5953.1425165097698</v>
      </c>
      <c r="S386" s="160"/>
      <c r="T386" s="161"/>
      <c r="U386" s="157"/>
    </row>
    <row r="387" spans="2:21" x14ac:dyDescent="0.3">
      <c r="B387" s="148">
        <v>370</v>
      </c>
      <c r="C387" s="148" t="s">
        <v>35</v>
      </c>
      <c r="D387" s="149" t="s">
        <v>223</v>
      </c>
      <c r="E387" s="150">
        <v>1104</v>
      </c>
      <c r="F387" s="150" t="s">
        <v>173</v>
      </c>
      <c r="G387" s="150" t="s">
        <v>169</v>
      </c>
      <c r="H387" s="150" t="s">
        <v>170</v>
      </c>
      <c r="I387" s="150" t="str">
        <f>Table1[[#This Row],[Wing]]&amp;-Table1[[#This Row],[Shop No / Office No. / Flat No.]]</f>
        <v>B-1104</v>
      </c>
      <c r="J387" s="173">
        <v>33.159999999999997</v>
      </c>
      <c r="K387" s="151">
        <f t="shared" si="11"/>
        <v>356.93423999999993</v>
      </c>
      <c r="L387" s="152">
        <f>Table1[[#This Row],[RERA Carpet Area (Sq. Ft.)]]*1.1</f>
        <v>392.62766399999998</v>
      </c>
      <c r="M387" s="153" t="s">
        <v>211</v>
      </c>
      <c r="N387" s="152" t="s">
        <v>266</v>
      </c>
      <c r="O387" s="152"/>
      <c r="P387" s="174"/>
      <c r="Q387" s="154">
        <f>Table1[[#This Row],[Agreement Value as per  Excel]]-Table1[[#This Row],[Amt Received as per Excel]]</f>
        <v>0</v>
      </c>
      <c r="R387" s="155">
        <f t="shared" ref="R387:R450" si="12">IFERROR(O387/K387,0)</f>
        <v>0</v>
      </c>
      <c r="S387" s="160"/>
      <c r="T387" s="161"/>
      <c r="U387" s="157"/>
    </row>
    <row r="388" spans="2:21" x14ac:dyDescent="0.3">
      <c r="B388" s="148">
        <v>371</v>
      </c>
      <c r="C388" s="148" t="s">
        <v>35</v>
      </c>
      <c r="D388" s="149" t="s">
        <v>223</v>
      </c>
      <c r="E388" s="150">
        <v>1105</v>
      </c>
      <c r="F388" s="150" t="s">
        <v>172</v>
      </c>
      <c r="G388" s="150" t="s">
        <v>169</v>
      </c>
      <c r="H388" s="150" t="s">
        <v>166</v>
      </c>
      <c r="I388" s="150" t="str">
        <f>Table1[[#This Row],[Wing]]&amp;-Table1[[#This Row],[Shop No / Office No. / Flat No.]]</f>
        <v>B-1105</v>
      </c>
      <c r="J388" s="173">
        <v>66.23</v>
      </c>
      <c r="K388" s="151">
        <f t="shared" si="11"/>
        <v>712.89972</v>
      </c>
      <c r="L388" s="152">
        <f>Table1[[#This Row],[RERA Carpet Area (Sq. Ft.)]]*1.1</f>
        <v>784.18969200000004</v>
      </c>
      <c r="M388" s="153" t="s">
        <v>211</v>
      </c>
      <c r="N388" s="152" t="s">
        <v>265</v>
      </c>
      <c r="O388" s="267">
        <v>962000</v>
      </c>
      <c r="P388" s="270">
        <v>962000</v>
      </c>
      <c r="Q388" s="154">
        <f>Table1[[#This Row],[Agreement Value as per  Excel]]-Table1[[#This Row],[Amt Received as per Excel]]</f>
        <v>0</v>
      </c>
      <c r="R388" s="155">
        <f t="shared" si="12"/>
        <v>1349.4184006693115</v>
      </c>
      <c r="S388" s="160"/>
      <c r="T388" s="161"/>
      <c r="U388" s="157"/>
    </row>
    <row r="389" spans="2:21" hidden="1" x14ac:dyDescent="0.3">
      <c r="B389" s="148">
        <v>372</v>
      </c>
      <c r="C389" s="148" t="s">
        <v>35</v>
      </c>
      <c r="D389" s="149" t="s">
        <v>223</v>
      </c>
      <c r="E389" s="150">
        <v>1106</v>
      </c>
      <c r="F389" s="150" t="s">
        <v>172</v>
      </c>
      <c r="G389" s="150" t="s">
        <v>169</v>
      </c>
      <c r="H389" s="150" t="s">
        <v>166</v>
      </c>
      <c r="I389" s="150" t="str">
        <f>Table1[[#This Row],[Wing]]&amp;-Table1[[#This Row],[Shop No / Office No. / Flat No.]]</f>
        <v>B-1106</v>
      </c>
      <c r="J389" s="175">
        <v>66.23</v>
      </c>
      <c r="K389" s="151">
        <f t="shared" si="11"/>
        <v>712.89972</v>
      </c>
      <c r="L389" s="152">
        <f>Table1[[#This Row],[RERA Carpet Area (Sq. Ft.)]]*1.1</f>
        <v>784.18969200000004</v>
      </c>
      <c r="M389" s="153" t="s">
        <v>168</v>
      </c>
      <c r="N389" s="152" t="s">
        <v>168</v>
      </c>
      <c r="O389" s="152">
        <v>11805000</v>
      </c>
      <c r="P389" s="174">
        <v>2715150</v>
      </c>
      <c r="Q389" s="154">
        <f>Table1[[#This Row],[Agreement Value as per  Excel]]-Table1[[#This Row],[Amt Received as per Excel]]</f>
        <v>9089850</v>
      </c>
      <c r="R389" s="155">
        <f t="shared" si="12"/>
        <v>16559.131205718528</v>
      </c>
      <c r="S389" s="160"/>
      <c r="T389" s="161"/>
      <c r="U389" s="157"/>
    </row>
    <row r="390" spans="2:21" hidden="1" x14ac:dyDescent="0.3">
      <c r="B390" s="148">
        <v>373</v>
      </c>
      <c r="C390" s="148" t="s">
        <v>35</v>
      </c>
      <c r="D390" s="149" t="s">
        <v>223</v>
      </c>
      <c r="E390" s="150">
        <v>1107</v>
      </c>
      <c r="F390" s="150" t="s">
        <v>174</v>
      </c>
      <c r="G390" s="150" t="s">
        <v>169</v>
      </c>
      <c r="H390" s="150" t="s">
        <v>166</v>
      </c>
      <c r="I390" s="150" t="str">
        <f>Table1[[#This Row],[Wing]]&amp;-Table1[[#This Row],[Shop No / Office No. / Flat No.]]</f>
        <v>B-1107</v>
      </c>
      <c r="J390" s="173">
        <v>88.58</v>
      </c>
      <c r="K390" s="151">
        <f t="shared" si="11"/>
        <v>953.47511999999995</v>
      </c>
      <c r="L390" s="152">
        <f>Table1[[#This Row],[RERA Carpet Area (Sq. Ft.)]]*1.1</f>
        <v>1048.8226320000001</v>
      </c>
      <c r="M390" s="153" t="s">
        <v>167</v>
      </c>
      <c r="N390" s="152" t="s">
        <v>261</v>
      </c>
      <c r="O390" s="152"/>
      <c r="P390" s="174"/>
      <c r="Q390" s="154">
        <f>Table1[[#This Row],[Agreement Value as per  Excel]]-Table1[[#This Row],[Amt Received as per Excel]]</f>
        <v>0</v>
      </c>
      <c r="R390" s="155">
        <f t="shared" si="12"/>
        <v>0</v>
      </c>
      <c r="S390" s="160"/>
      <c r="T390" s="161"/>
      <c r="U390" s="157"/>
    </row>
    <row r="391" spans="2:21" hidden="1" x14ac:dyDescent="0.3">
      <c r="B391" s="148">
        <v>374</v>
      </c>
      <c r="C391" s="148" t="s">
        <v>35</v>
      </c>
      <c r="D391" s="149" t="s">
        <v>223</v>
      </c>
      <c r="E391" s="150">
        <v>1108</v>
      </c>
      <c r="F391" s="150" t="s">
        <v>174</v>
      </c>
      <c r="G391" s="150" t="s">
        <v>169</v>
      </c>
      <c r="H391" s="150" t="s">
        <v>166</v>
      </c>
      <c r="I391" s="150" t="str">
        <f>Table1[[#This Row],[Wing]]&amp;-Table1[[#This Row],[Shop No / Office No. / Flat No.]]</f>
        <v>B-1108</v>
      </c>
      <c r="J391" s="175">
        <v>88.58</v>
      </c>
      <c r="K391" s="151">
        <f t="shared" si="11"/>
        <v>953.47511999999995</v>
      </c>
      <c r="L391" s="152">
        <f>Table1[[#This Row],[RERA Carpet Area (Sq. Ft.)]]*1.1</f>
        <v>1048.8226320000001</v>
      </c>
      <c r="M391" s="153" t="s">
        <v>168</v>
      </c>
      <c r="N391" s="152" t="s">
        <v>168</v>
      </c>
      <c r="O391" s="152">
        <v>19136250</v>
      </c>
      <c r="P391" s="174">
        <v>11048025</v>
      </c>
      <c r="Q391" s="154">
        <f>Table1[[#This Row],[Agreement Value as per  Excel]]-Table1[[#This Row],[Amt Received as per Excel]]</f>
        <v>8088225</v>
      </c>
      <c r="R391" s="155">
        <f t="shared" si="12"/>
        <v>20070.004553448653</v>
      </c>
      <c r="S391" s="160"/>
      <c r="T391" s="161"/>
      <c r="U391" s="157"/>
    </row>
    <row r="392" spans="2:21" hidden="1" x14ac:dyDescent="0.3">
      <c r="B392" s="148">
        <v>375</v>
      </c>
      <c r="C392" s="148" t="s">
        <v>35</v>
      </c>
      <c r="D392" s="149" t="s">
        <v>223</v>
      </c>
      <c r="E392" s="150">
        <v>1109</v>
      </c>
      <c r="F392" s="150" t="s">
        <v>172</v>
      </c>
      <c r="G392" s="150" t="s">
        <v>169</v>
      </c>
      <c r="H392" s="150" t="s">
        <v>166</v>
      </c>
      <c r="I392" s="150" t="str">
        <f>Table1[[#This Row],[Wing]]&amp;-Table1[[#This Row],[Shop No / Office No. / Flat No.]]</f>
        <v>B-1109</v>
      </c>
      <c r="J392" s="173">
        <v>65.16</v>
      </c>
      <c r="K392" s="151">
        <f t="shared" si="11"/>
        <v>701.38223999999991</v>
      </c>
      <c r="L392" s="152">
        <f>Table1[[#This Row],[RERA Carpet Area (Sq. Ft.)]]*1.1</f>
        <v>771.52046399999995</v>
      </c>
      <c r="M392" s="153" t="s">
        <v>167</v>
      </c>
      <c r="N392" s="152" t="s">
        <v>168</v>
      </c>
      <c r="O392" s="152">
        <v>13465500</v>
      </c>
      <c r="P392" s="174">
        <v>1077240</v>
      </c>
      <c r="Q392" s="154">
        <f>Table1[[#This Row],[Agreement Value as per  Excel]]-Table1[[#This Row],[Amt Received as per Excel]]</f>
        <v>12388260</v>
      </c>
      <c r="R392" s="155">
        <f t="shared" si="12"/>
        <v>19198.518628016587</v>
      </c>
      <c r="S392" s="160"/>
      <c r="T392" s="161"/>
      <c r="U392" s="157"/>
    </row>
    <row r="393" spans="2:21" hidden="1" x14ac:dyDescent="0.3">
      <c r="B393" s="148">
        <v>376</v>
      </c>
      <c r="C393" s="148" t="s">
        <v>35</v>
      </c>
      <c r="D393" s="149" t="s">
        <v>223</v>
      </c>
      <c r="E393" s="150">
        <v>1110</v>
      </c>
      <c r="F393" s="150" t="s">
        <v>172</v>
      </c>
      <c r="G393" s="150" t="s">
        <v>169</v>
      </c>
      <c r="H393" s="150" t="s">
        <v>166</v>
      </c>
      <c r="I393" s="150" t="str">
        <f>Table1[[#This Row],[Wing]]&amp;-Table1[[#This Row],[Shop No / Office No. / Flat No.]]</f>
        <v>B-1110</v>
      </c>
      <c r="J393" s="175">
        <v>65.16</v>
      </c>
      <c r="K393" s="151">
        <f t="shared" si="11"/>
        <v>701.38223999999991</v>
      </c>
      <c r="L393" s="152">
        <f>Table1[[#This Row],[RERA Carpet Area (Sq. Ft.)]]*1.1</f>
        <v>771.52046399999995</v>
      </c>
      <c r="M393" s="153" t="s">
        <v>168</v>
      </c>
      <c r="N393" s="152" t="s">
        <v>168</v>
      </c>
      <c r="O393" s="152">
        <v>17448750</v>
      </c>
      <c r="P393" s="174">
        <v>10120276</v>
      </c>
      <c r="Q393" s="154">
        <f>Table1[[#This Row],[Agreement Value as per  Excel]]-Table1[[#This Row],[Amt Received as per Excel]]</f>
        <v>7328474</v>
      </c>
      <c r="R393" s="155">
        <f t="shared" si="12"/>
        <v>24877.661572953431</v>
      </c>
      <c r="S393" s="160"/>
      <c r="T393" s="161"/>
      <c r="U393" s="157"/>
    </row>
    <row r="394" spans="2:21" x14ac:dyDescent="0.3">
      <c r="B394" s="148">
        <v>377</v>
      </c>
      <c r="C394" s="148" t="s">
        <v>35</v>
      </c>
      <c r="D394" s="149" t="s">
        <v>224</v>
      </c>
      <c r="E394" s="150">
        <v>1201</v>
      </c>
      <c r="F394" s="150" t="s">
        <v>173</v>
      </c>
      <c r="G394" s="150" t="s">
        <v>169</v>
      </c>
      <c r="H394" s="150" t="s">
        <v>170</v>
      </c>
      <c r="I394" s="150" t="str">
        <f>Table1[[#This Row],[Wing]]&amp;-Table1[[#This Row],[Shop No / Office No. / Flat No.]]</f>
        <v>B-1201</v>
      </c>
      <c r="J394" s="173">
        <v>33.159999999999997</v>
      </c>
      <c r="K394" s="151">
        <f t="shared" si="11"/>
        <v>356.93423999999993</v>
      </c>
      <c r="L394" s="152">
        <f>Table1[[#This Row],[RERA Carpet Area (Sq. Ft.)]]*1.1</f>
        <v>392.62766399999998</v>
      </c>
      <c r="M394" s="153" t="s">
        <v>211</v>
      </c>
      <c r="N394" s="152" t="s">
        <v>266</v>
      </c>
      <c r="O394" s="152"/>
      <c r="P394" s="174"/>
      <c r="Q394" s="154">
        <f>Table1[[#This Row],[Agreement Value as per  Excel]]-Table1[[#This Row],[Amt Received as per Excel]]</f>
        <v>0</v>
      </c>
      <c r="R394" s="155">
        <f t="shared" si="12"/>
        <v>0</v>
      </c>
      <c r="S394" s="160"/>
      <c r="T394" s="161"/>
      <c r="U394" s="157"/>
    </row>
    <row r="395" spans="2:21" x14ac:dyDescent="0.3">
      <c r="B395" s="148">
        <v>378</v>
      </c>
      <c r="C395" s="148" t="s">
        <v>35</v>
      </c>
      <c r="D395" s="149" t="s">
        <v>224</v>
      </c>
      <c r="E395" s="150">
        <v>1202</v>
      </c>
      <c r="F395" s="150" t="s">
        <v>172</v>
      </c>
      <c r="G395" s="150" t="s">
        <v>169</v>
      </c>
      <c r="H395" s="150" t="s">
        <v>166</v>
      </c>
      <c r="I395" s="150" t="str">
        <f>Table1[[#This Row],[Wing]]&amp;-Table1[[#This Row],[Shop No / Office No. / Flat No.]]</f>
        <v>B-1202</v>
      </c>
      <c r="J395" s="173">
        <v>62.04</v>
      </c>
      <c r="K395" s="151">
        <f t="shared" si="11"/>
        <v>667.79855999999995</v>
      </c>
      <c r="L395" s="152">
        <f>Table1[[#This Row],[RERA Carpet Area (Sq. Ft.)]]*1.1</f>
        <v>734.57841600000006</v>
      </c>
      <c r="M395" s="153" t="s">
        <v>211</v>
      </c>
      <c r="N395" s="152" t="s">
        <v>265</v>
      </c>
      <c r="O395" s="267">
        <v>2567550</v>
      </c>
      <c r="P395" s="270">
        <v>2250000</v>
      </c>
      <c r="Q395" s="154">
        <f>Table1[[#This Row],[Agreement Value as per  Excel]]-Table1[[#This Row],[Amt Received as per Excel]]</f>
        <v>317550</v>
      </c>
      <c r="R395" s="155">
        <f t="shared" si="12"/>
        <v>3844.7971496075106</v>
      </c>
      <c r="S395" s="160"/>
      <c r="T395" s="161"/>
      <c r="U395" s="157"/>
    </row>
    <row r="396" spans="2:21" hidden="1" x14ac:dyDescent="0.3">
      <c r="B396" s="148">
        <v>379</v>
      </c>
      <c r="C396" s="148" t="s">
        <v>35</v>
      </c>
      <c r="D396" s="149" t="s">
        <v>224</v>
      </c>
      <c r="E396" s="150">
        <v>1203</v>
      </c>
      <c r="F396" s="150" t="s">
        <v>172</v>
      </c>
      <c r="G396" s="150" t="s">
        <v>169</v>
      </c>
      <c r="H396" s="150" t="s">
        <v>166</v>
      </c>
      <c r="I396" s="150" t="str">
        <f>Table1[[#This Row],[Wing]]&amp;-Table1[[#This Row],[Shop No / Office No. / Flat No.]]</f>
        <v>B-1203</v>
      </c>
      <c r="J396" s="175">
        <v>62.04</v>
      </c>
      <c r="K396" s="151">
        <f t="shared" si="11"/>
        <v>667.79855999999995</v>
      </c>
      <c r="L396" s="152">
        <f>Table1[[#This Row],[RERA Carpet Area (Sq. Ft.)]]*1.1</f>
        <v>734.57841600000006</v>
      </c>
      <c r="M396" s="153" t="s">
        <v>168</v>
      </c>
      <c r="N396" s="152" t="s">
        <v>168</v>
      </c>
      <c r="O396" s="152">
        <v>10200000</v>
      </c>
      <c r="P396" s="174">
        <v>480142</v>
      </c>
      <c r="Q396" s="154">
        <f>Table1[[#This Row],[Agreement Value as per  Excel]]-Table1[[#This Row],[Amt Received as per Excel]]</f>
        <v>9719858</v>
      </c>
      <c r="R396" s="155">
        <f t="shared" si="12"/>
        <v>15274.06707795237</v>
      </c>
      <c r="S396" s="160"/>
      <c r="T396" s="161"/>
      <c r="U396" s="157"/>
    </row>
    <row r="397" spans="2:21" x14ac:dyDescent="0.3">
      <c r="B397" s="148">
        <v>380</v>
      </c>
      <c r="C397" s="148" t="s">
        <v>35</v>
      </c>
      <c r="D397" s="149" t="s">
        <v>224</v>
      </c>
      <c r="E397" s="150">
        <v>1204</v>
      </c>
      <c r="F397" s="150" t="s">
        <v>173</v>
      </c>
      <c r="G397" s="150" t="s">
        <v>169</v>
      </c>
      <c r="H397" s="150" t="s">
        <v>170</v>
      </c>
      <c r="I397" s="150" t="str">
        <f>Table1[[#This Row],[Wing]]&amp;-Table1[[#This Row],[Shop No / Office No. / Flat No.]]</f>
        <v>B-1204</v>
      </c>
      <c r="J397" s="173">
        <v>33.159999999999997</v>
      </c>
      <c r="K397" s="151">
        <f t="shared" si="11"/>
        <v>356.93423999999993</v>
      </c>
      <c r="L397" s="152">
        <f>Table1[[#This Row],[RERA Carpet Area (Sq. Ft.)]]*1.1</f>
        <v>392.62766399999998</v>
      </c>
      <c r="M397" s="153" t="s">
        <v>167</v>
      </c>
      <c r="N397" s="152" t="s">
        <v>266</v>
      </c>
      <c r="O397" s="152"/>
      <c r="P397" s="174"/>
      <c r="Q397" s="154">
        <f>Table1[[#This Row],[Agreement Value as per  Excel]]-Table1[[#This Row],[Amt Received as per Excel]]</f>
        <v>0</v>
      </c>
      <c r="R397" s="155">
        <f t="shared" si="12"/>
        <v>0</v>
      </c>
      <c r="S397" s="160"/>
      <c r="T397" s="161"/>
      <c r="U397" s="157"/>
    </row>
    <row r="398" spans="2:21" hidden="1" x14ac:dyDescent="0.3">
      <c r="B398" s="148">
        <v>381</v>
      </c>
      <c r="C398" s="148" t="s">
        <v>35</v>
      </c>
      <c r="D398" s="149" t="s">
        <v>224</v>
      </c>
      <c r="E398" s="150">
        <v>1205</v>
      </c>
      <c r="F398" s="150" t="s">
        <v>172</v>
      </c>
      <c r="G398" s="150" t="s">
        <v>169</v>
      </c>
      <c r="H398" s="150" t="s">
        <v>166</v>
      </c>
      <c r="I398" s="150" t="str">
        <f>Table1[[#This Row],[Wing]]&amp;-Table1[[#This Row],[Shop No / Office No. / Flat No.]]</f>
        <v>B-1205</v>
      </c>
      <c r="J398" s="175">
        <v>66.23</v>
      </c>
      <c r="K398" s="151">
        <f t="shared" si="11"/>
        <v>712.89972</v>
      </c>
      <c r="L398" s="152">
        <f>Table1[[#This Row],[RERA Carpet Area (Sq. Ft.)]]*1.1</f>
        <v>784.18969200000004</v>
      </c>
      <c r="M398" s="153" t="s">
        <v>168</v>
      </c>
      <c r="N398" s="152" t="s">
        <v>168</v>
      </c>
      <c r="O398" s="152">
        <v>14506750</v>
      </c>
      <c r="P398" s="174">
        <v>2501000</v>
      </c>
      <c r="Q398" s="154">
        <f>Table1[[#This Row],[Agreement Value as per  Excel]]-Table1[[#This Row],[Amt Received as per Excel]]</f>
        <v>12005750</v>
      </c>
      <c r="R398" s="155">
        <f t="shared" si="12"/>
        <v>20348.934910508873</v>
      </c>
      <c r="S398" s="160"/>
      <c r="T398" s="161"/>
      <c r="U398" s="157"/>
    </row>
    <row r="399" spans="2:21" hidden="1" x14ac:dyDescent="0.3">
      <c r="B399" s="148">
        <v>382</v>
      </c>
      <c r="C399" s="148" t="s">
        <v>35</v>
      </c>
      <c r="D399" s="149" t="s">
        <v>224</v>
      </c>
      <c r="E399" s="150">
        <v>1206</v>
      </c>
      <c r="F399" s="150" t="s">
        <v>172</v>
      </c>
      <c r="G399" s="150" t="s">
        <v>169</v>
      </c>
      <c r="H399" s="150" t="s">
        <v>166</v>
      </c>
      <c r="I399" s="150" t="str">
        <f>Table1[[#This Row],[Wing]]&amp;-Table1[[#This Row],[Shop No / Office No. / Flat No.]]</f>
        <v>B-1206</v>
      </c>
      <c r="J399" s="175">
        <v>66.23</v>
      </c>
      <c r="K399" s="151">
        <f t="shared" si="11"/>
        <v>712.89972</v>
      </c>
      <c r="L399" s="152">
        <f>Table1[[#This Row],[RERA Carpet Area (Sq. Ft.)]]*1.1</f>
        <v>784.18969200000004</v>
      </c>
      <c r="M399" s="153" t="s">
        <v>168</v>
      </c>
      <c r="N399" s="152" t="s">
        <v>168</v>
      </c>
      <c r="O399" s="152">
        <v>11015625</v>
      </c>
      <c r="P399" s="174">
        <v>6606541</v>
      </c>
      <c r="Q399" s="154">
        <f>Table1[[#This Row],[Agreement Value as per  Excel]]-Table1[[#This Row],[Amt Received as per Excel]]</f>
        <v>4409084</v>
      </c>
      <c r="R399" s="155">
        <f t="shared" si="12"/>
        <v>15451.857660990525</v>
      </c>
      <c r="S399" s="160"/>
      <c r="T399" s="161"/>
      <c r="U399" s="157"/>
    </row>
    <row r="400" spans="2:21" x14ac:dyDescent="0.3">
      <c r="B400" s="148">
        <v>383</v>
      </c>
      <c r="C400" s="148" t="s">
        <v>35</v>
      </c>
      <c r="D400" s="149" t="s">
        <v>224</v>
      </c>
      <c r="E400" s="150">
        <v>1207</v>
      </c>
      <c r="F400" s="150" t="s">
        <v>174</v>
      </c>
      <c r="G400" s="150" t="s">
        <v>169</v>
      </c>
      <c r="H400" s="150" t="s">
        <v>166</v>
      </c>
      <c r="I400" s="150" t="str">
        <f>Table1[[#This Row],[Wing]]&amp;-Table1[[#This Row],[Shop No / Office No. / Flat No.]]</f>
        <v>B-1207</v>
      </c>
      <c r="J400" s="173">
        <v>88.58</v>
      </c>
      <c r="K400" s="151">
        <f t="shared" si="11"/>
        <v>953.47511999999995</v>
      </c>
      <c r="L400" s="152">
        <f>Table1[[#This Row],[RERA Carpet Area (Sq. Ft.)]]*1.1</f>
        <v>1048.8226320000001</v>
      </c>
      <c r="M400" s="153" t="s">
        <v>211</v>
      </c>
      <c r="N400" s="152" t="s">
        <v>265</v>
      </c>
      <c r="O400" s="272">
        <v>9772000</v>
      </c>
      <c r="P400" s="274">
        <v>1420096</v>
      </c>
      <c r="Q400" s="154">
        <f>Table1[[#This Row],[Agreement Value as per  Excel]]-Table1[[#This Row],[Amt Received as per Excel]]</f>
        <v>8351904</v>
      </c>
      <c r="R400" s="155">
        <f t="shared" si="12"/>
        <v>10248.825370503639</v>
      </c>
      <c r="S400" s="160"/>
      <c r="T400" s="161"/>
      <c r="U400" s="157"/>
    </row>
    <row r="401" spans="2:21" hidden="1" x14ac:dyDescent="0.3">
      <c r="B401" s="148">
        <v>384</v>
      </c>
      <c r="C401" s="148" t="s">
        <v>35</v>
      </c>
      <c r="D401" s="149" t="s">
        <v>224</v>
      </c>
      <c r="E401" s="150">
        <v>1208</v>
      </c>
      <c r="F401" s="150" t="s">
        <v>174</v>
      </c>
      <c r="G401" s="150" t="s">
        <v>169</v>
      </c>
      <c r="H401" s="150" t="s">
        <v>166</v>
      </c>
      <c r="I401" s="150" t="str">
        <f>Table1[[#This Row],[Wing]]&amp;-Table1[[#This Row],[Shop No / Office No. / Flat No.]]</f>
        <v>B-1208</v>
      </c>
      <c r="J401" s="175">
        <v>88.58</v>
      </c>
      <c r="K401" s="151">
        <f t="shared" si="11"/>
        <v>953.47511999999995</v>
      </c>
      <c r="L401" s="152">
        <f>Table1[[#This Row],[RERA Carpet Area (Sq. Ft.)]]*1.1</f>
        <v>1048.8226320000001</v>
      </c>
      <c r="M401" s="153" t="s">
        <v>168</v>
      </c>
      <c r="N401" s="152" t="s">
        <v>168</v>
      </c>
      <c r="O401" s="152">
        <v>20532500</v>
      </c>
      <c r="P401" s="174">
        <v>10114175</v>
      </c>
      <c r="Q401" s="154">
        <f>Table1[[#This Row],[Agreement Value as per  Excel]]-Table1[[#This Row],[Amt Received as per Excel]]</f>
        <v>10418325</v>
      </c>
      <c r="R401" s="155">
        <f t="shared" si="12"/>
        <v>21534.384662286731</v>
      </c>
      <c r="S401" s="160"/>
      <c r="T401" s="161"/>
      <c r="U401" s="157"/>
    </row>
    <row r="402" spans="2:21" hidden="1" x14ac:dyDescent="0.3">
      <c r="B402" s="148">
        <v>385</v>
      </c>
      <c r="C402" s="148" t="s">
        <v>35</v>
      </c>
      <c r="D402" s="149" t="s">
        <v>224</v>
      </c>
      <c r="E402" s="150">
        <v>1209</v>
      </c>
      <c r="F402" s="150" t="s">
        <v>172</v>
      </c>
      <c r="G402" s="150" t="s">
        <v>169</v>
      </c>
      <c r="H402" s="150" t="s">
        <v>166</v>
      </c>
      <c r="I402" s="150" t="str">
        <f>Table1[[#This Row],[Wing]]&amp;-Table1[[#This Row],[Shop No / Office No. / Flat No.]]</f>
        <v>B-1209</v>
      </c>
      <c r="J402" s="173">
        <v>65.16</v>
      </c>
      <c r="K402" s="151">
        <f t="shared" si="11"/>
        <v>701.38223999999991</v>
      </c>
      <c r="L402" s="152">
        <f>Table1[[#This Row],[RERA Carpet Area (Sq. Ft.)]]*1.1</f>
        <v>771.52046399999995</v>
      </c>
      <c r="M402" s="153" t="s">
        <v>167</v>
      </c>
      <c r="N402" s="152" t="s">
        <v>168</v>
      </c>
      <c r="O402" s="152">
        <v>13379250</v>
      </c>
      <c r="P402" s="174">
        <v>142003</v>
      </c>
      <c r="Q402" s="154">
        <f>Table1[[#This Row],[Agreement Value as per  Excel]]-Table1[[#This Row],[Amt Received as per Excel]]</f>
        <v>13237247</v>
      </c>
      <c r="R402" s="155">
        <f t="shared" si="12"/>
        <v>19075.547165266122</v>
      </c>
      <c r="S402" s="160"/>
      <c r="T402" s="161"/>
      <c r="U402" s="157"/>
    </row>
    <row r="403" spans="2:21" hidden="1" x14ac:dyDescent="0.3">
      <c r="B403" s="148">
        <v>386</v>
      </c>
      <c r="C403" s="148" t="s">
        <v>35</v>
      </c>
      <c r="D403" s="149" t="s">
        <v>224</v>
      </c>
      <c r="E403" s="150">
        <v>1210</v>
      </c>
      <c r="F403" s="150" t="s">
        <v>172</v>
      </c>
      <c r="G403" s="150" t="s">
        <v>169</v>
      </c>
      <c r="H403" s="150" t="s">
        <v>166</v>
      </c>
      <c r="I403" s="150" t="str">
        <f>Table1[[#This Row],[Wing]]&amp;-Table1[[#This Row],[Shop No / Office No. / Flat No.]]</f>
        <v>B-1210</v>
      </c>
      <c r="J403" s="175">
        <v>65.16</v>
      </c>
      <c r="K403" s="151">
        <f t="shared" si="11"/>
        <v>701.38223999999991</v>
      </c>
      <c r="L403" s="152">
        <f>Table1[[#This Row],[RERA Carpet Area (Sq. Ft.)]]*1.1</f>
        <v>771.52046399999995</v>
      </c>
      <c r="M403" s="153" t="s">
        <v>168</v>
      </c>
      <c r="N403" s="152" t="s">
        <v>168</v>
      </c>
      <c r="O403" s="152">
        <v>15510000</v>
      </c>
      <c r="P403" s="174">
        <v>8995800</v>
      </c>
      <c r="Q403" s="154">
        <f>Table1[[#This Row],[Agreement Value as per  Excel]]-Table1[[#This Row],[Amt Received as per Excel]]</f>
        <v>6514200</v>
      </c>
      <c r="R403" s="155">
        <f t="shared" si="12"/>
        <v>22113.476953736386</v>
      </c>
      <c r="S403" s="160"/>
      <c r="T403" s="161"/>
      <c r="U403" s="157"/>
    </row>
    <row r="404" spans="2:21" x14ac:dyDescent="0.3">
      <c r="B404" s="148">
        <v>387</v>
      </c>
      <c r="C404" s="148" t="s">
        <v>35</v>
      </c>
      <c r="D404" s="149" t="s">
        <v>225</v>
      </c>
      <c r="E404" s="150">
        <v>1301</v>
      </c>
      <c r="F404" s="150" t="s">
        <v>173</v>
      </c>
      <c r="G404" s="150" t="s">
        <v>169</v>
      </c>
      <c r="H404" s="150" t="s">
        <v>170</v>
      </c>
      <c r="I404" s="150" t="str">
        <f>Table1[[#This Row],[Wing]]&amp;-Table1[[#This Row],[Shop No / Office No. / Flat No.]]</f>
        <v>B-1301</v>
      </c>
      <c r="J404" s="173">
        <v>33.159999999999997</v>
      </c>
      <c r="K404" s="151">
        <f t="shared" si="11"/>
        <v>356.93423999999993</v>
      </c>
      <c r="L404" s="152">
        <f>Table1[[#This Row],[RERA Carpet Area (Sq. Ft.)]]*1.1</f>
        <v>392.62766399999998</v>
      </c>
      <c r="M404" s="153" t="s">
        <v>211</v>
      </c>
      <c r="N404" s="152" t="s">
        <v>266</v>
      </c>
      <c r="O404" s="152"/>
      <c r="P404" s="174"/>
      <c r="Q404" s="154">
        <f>Table1[[#This Row],[Agreement Value as per  Excel]]-Table1[[#This Row],[Amt Received as per Excel]]</f>
        <v>0</v>
      </c>
      <c r="R404" s="155">
        <f t="shared" si="12"/>
        <v>0</v>
      </c>
      <c r="S404" s="160"/>
      <c r="T404" s="161"/>
      <c r="U404" s="157"/>
    </row>
    <row r="405" spans="2:21" x14ac:dyDescent="0.3">
      <c r="B405" s="148">
        <v>388</v>
      </c>
      <c r="C405" s="148" t="s">
        <v>35</v>
      </c>
      <c r="D405" s="149" t="s">
        <v>225</v>
      </c>
      <c r="E405" s="150">
        <v>1302</v>
      </c>
      <c r="F405" s="150" t="s">
        <v>172</v>
      </c>
      <c r="G405" s="150" t="s">
        <v>169</v>
      </c>
      <c r="H405" s="150" t="s">
        <v>166</v>
      </c>
      <c r="I405" s="150" t="str">
        <f>Table1[[#This Row],[Wing]]&amp;-Table1[[#This Row],[Shop No / Office No. / Flat No.]]</f>
        <v>B-1302</v>
      </c>
      <c r="J405" s="173">
        <v>62.04</v>
      </c>
      <c r="K405" s="151">
        <f t="shared" si="11"/>
        <v>667.79855999999995</v>
      </c>
      <c r="L405" s="152">
        <f>Table1[[#This Row],[RERA Carpet Area (Sq. Ft.)]]*1.1</f>
        <v>734.57841600000006</v>
      </c>
      <c r="M405" s="153" t="s">
        <v>211</v>
      </c>
      <c r="N405" s="152" t="s">
        <v>265</v>
      </c>
      <c r="O405" s="267">
        <v>3332000</v>
      </c>
      <c r="P405" s="270">
        <v>2499000</v>
      </c>
      <c r="Q405" s="154">
        <f>Table1[[#This Row],[Agreement Value as per  Excel]]-Table1[[#This Row],[Amt Received as per Excel]]</f>
        <v>833000</v>
      </c>
      <c r="R405" s="155">
        <f t="shared" si="12"/>
        <v>4989.5285787977746</v>
      </c>
      <c r="S405" s="160"/>
      <c r="T405" s="161"/>
      <c r="U405" s="157"/>
    </row>
    <row r="406" spans="2:21" hidden="1" x14ac:dyDescent="0.3">
      <c r="B406" s="148">
        <v>389</v>
      </c>
      <c r="C406" s="148" t="s">
        <v>35</v>
      </c>
      <c r="D406" s="149" t="s">
        <v>225</v>
      </c>
      <c r="E406" s="150">
        <v>1303</v>
      </c>
      <c r="F406" s="150" t="s">
        <v>172</v>
      </c>
      <c r="G406" s="150" t="s">
        <v>169</v>
      </c>
      <c r="H406" s="150" t="s">
        <v>166</v>
      </c>
      <c r="I406" s="150" t="str">
        <f>Table1[[#This Row],[Wing]]&amp;-Table1[[#This Row],[Shop No / Office No. / Flat No.]]</f>
        <v>B-1303</v>
      </c>
      <c r="J406" s="173">
        <v>62.04</v>
      </c>
      <c r="K406" s="151">
        <f t="shared" si="11"/>
        <v>667.79855999999995</v>
      </c>
      <c r="L406" s="152">
        <f>Table1[[#This Row],[RERA Carpet Area (Sq. Ft.)]]*1.1</f>
        <v>734.57841600000006</v>
      </c>
      <c r="M406" s="153" t="s">
        <v>167</v>
      </c>
      <c r="N406" s="152" t="s">
        <v>168</v>
      </c>
      <c r="O406" s="152">
        <v>18374040</v>
      </c>
      <c r="P406" s="174">
        <v>1856400</v>
      </c>
      <c r="Q406" s="154">
        <f>Table1[[#This Row],[Agreement Value as per  Excel]]-Table1[[#This Row],[Amt Received as per Excel]]</f>
        <v>16517640</v>
      </c>
      <c r="R406" s="155">
        <f t="shared" si="12"/>
        <v>27514.345044409802</v>
      </c>
      <c r="S406" s="160"/>
      <c r="T406" s="161"/>
      <c r="U406" s="157"/>
    </row>
    <row r="407" spans="2:21" x14ac:dyDescent="0.3">
      <c r="B407" s="148">
        <v>390</v>
      </c>
      <c r="C407" s="148" t="s">
        <v>35</v>
      </c>
      <c r="D407" s="149" t="s">
        <v>225</v>
      </c>
      <c r="E407" s="150">
        <v>1304</v>
      </c>
      <c r="F407" s="150" t="s">
        <v>173</v>
      </c>
      <c r="G407" s="150" t="s">
        <v>169</v>
      </c>
      <c r="H407" s="150" t="s">
        <v>170</v>
      </c>
      <c r="I407" s="150" t="str">
        <f>Table1[[#This Row],[Wing]]&amp;-Table1[[#This Row],[Shop No / Office No. / Flat No.]]</f>
        <v>B-1304</v>
      </c>
      <c r="J407" s="173">
        <v>33.159999999999997</v>
      </c>
      <c r="K407" s="151">
        <f t="shared" si="11"/>
        <v>356.93423999999993</v>
      </c>
      <c r="L407" s="152">
        <f>Table1[[#This Row],[RERA Carpet Area (Sq. Ft.)]]*1.1</f>
        <v>392.62766399999998</v>
      </c>
      <c r="M407" s="153" t="s">
        <v>167</v>
      </c>
      <c r="N407" s="152" t="s">
        <v>266</v>
      </c>
      <c r="O407" s="152"/>
      <c r="P407" s="174"/>
      <c r="Q407" s="154">
        <f>Table1[[#This Row],[Agreement Value as per  Excel]]-Table1[[#This Row],[Amt Received as per Excel]]</f>
        <v>0</v>
      </c>
      <c r="R407" s="155">
        <f t="shared" si="12"/>
        <v>0</v>
      </c>
      <c r="S407" s="160"/>
      <c r="T407" s="161"/>
      <c r="U407" s="157"/>
    </row>
    <row r="408" spans="2:21" hidden="1" x14ac:dyDescent="0.3">
      <c r="B408" s="148">
        <v>391</v>
      </c>
      <c r="C408" s="148" t="s">
        <v>35</v>
      </c>
      <c r="D408" s="149" t="s">
        <v>225</v>
      </c>
      <c r="E408" s="150">
        <v>1305</v>
      </c>
      <c r="F408" s="150" t="s">
        <v>172</v>
      </c>
      <c r="G408" s="150" t="s">
        <v>169</v>
      </c>
      <c r="H408" s="150" t="s">
        <v>166</v>
      </c>
      <c r="I408" s="150" t="str">
        <f>Table1[[#This Row],[Wing]]&amp;-Table1[[#This Row],[Shop No / Office No. / Flat No.]]</f>
        <v>B-1305</v>
      </c>
      <c r="J408" s="175">
        <v>66.23</v>
      </c>
      <c r="K408" s="151">
        <f t="shared" si="11"/>
        <v>712.89972</v>
      </c>
      <c r="L408" s="152">
        <f>Table1[[#This Row],[RERA Carpet Area (Sq. Ft.)]]*1.1</f>
        <v>784.18969200000004</v>
      </c>
      <c r="M408" s="153" t="s">
        <v>168</v>
      </c>
      <c r="N408" s="152" t="s">
        <v>168</v>
      </c>
      <c r="O408" s="152">
        <v>10800600</v>
      </c>
      <c r="P408" s="174">
        <v>8514000</v>
      </c>
      <c r="Q408" s="154">
        <f>Table1[[#This Row],[Agreement Value as per  Excel]]-Table1[[#This Row],[Amt Received as per Excel]]</f>
        <v>2286600</v>
      </c>
      <c r="R408" s="155">
        <f t="shared" si="12"/>
        <v>15150.237399447989</v>
      </c>
      <c r="S408" s="160"/>
      <c r="T408" s="161"/>
      <c r="U408" s="157"/>
    </row>
    <row r="409" spans="2:21" hidden="1" x14ac:dyDescent="0.3">
      <c r="B409" s="148">
        <v>392</v>
      </c>
      <c r="C409" s="148" t="s">
        <v>35</v>
      </c>
      <c r="D409" s="149" t="s">
        <v>225</v>
      </c>
      <c r="E409" s="150">
        <v>1306</v>
      </c>
      <c r="F409" s="150" t="s">
        <v>172</v>
      </c>
      <c r="G409" s="150" t="s">
        <v>169</v>
      </c>
      <c r="H409" s="150" t="s">
        <v>166</v>
      </c>
      <c r="I409" s="150" t="str">
        <f>Table1[[#This Row],[Wing]]&amp;-Table1[[#This Row],[Shop No / Office No. / Flat No.]]</f>
        <v>B-1306</v>
      </c>
      <c r="J409" s="175">
        <v>66.23</v>
      </c>
      <c r="K409" s="151">
        <f t="shared" si="11"/>
        <v>712.89972</v>
      </c>
      <c r="L409" s="152">
        <f>Table1[[#This Row],[RERA Carpet Area (Sq. Ft.)]]*1.1</f>
        <v>784.18969200000004</v>
      </c>
      <c r="M409" s="153" t="s">
        <v>168</v>
      </c>
      <c r="N409" s="152" t="s">
        <v>168</v>
      </c>
      <c r="O409" s="152">
        <v>14110575</v>
      </c>
      <c r="P409" s="174">
        <v>4214029</v>
      </c>
      <c r="Q409" s="154">
        <f>Table1[[#This Row],[Agreement Value as per  Excel]]-Table1[[#This Row],[Amt Received as per Excel]]</f>
        <v>9896546</v>
      </c>
      <c r="R409" s="155">
        <f t="shared" si="12"/>
        <v>19793.211589422423</v>
      </c>
      <c r="S409" s="160"/>
      <c r="T409" s="161"/>
      <c r="U409" s="157"/>
    </row>
    <row r="410" spans="2:21" hidden="1" x14ac:dyDescent="0.3">
      <c r="B410" s="148">
        <v>393</v>
      </c>
      <c r="C410" s="148" t="s">
        <v>35</v>
      </c>
      <c r="D410" s="149" t="s">
        <v>225</v>
      </c>
      <c r="E410" s="150">
        <v>1307</v>
      </c>
      <c r="F410" s="150" t="s">
        <v>174</v>
      </c>
      <c r="G410" s="150" t="s">
        <v>169</v>
      </c>
      <c r="H410" s="150" t="s">
        <v>166</v>
      </c>
      <c r="I410" s="150" t="str">
        <f>Table1[[#This Row],[Wing]]&amp;-Table1[[#This Row],[Shop No / Office No. / Flat No.]]</f>
        <v>B-1307</v>
      </c>
      <c r="J410" s="175">
        <v>88.58</v>
      </c>
      <c r="K410" s="151">
        <f t="shared" si="11"/>
        <v>953.47511999999995</v>
      </c>
      <c r="L410" s="152">
        <f>Table1[[#This Row],[RERA Carpet Area (Sq. Ft.)]]*1.1</f>
        <v>1048.8226320000001</v>
      </c>
      <c r="M410" s="153" t="s">
        <v>168</v>
      </c>
      <c r="N410" s="152" t="s">
        <v>168</v>
      </c>
      <c r="O410" s="152">
        <v>20982970</v>
      </c>
      <c r="P410" s="174">
        <v>15467580</v>
      </c>
      <c r="Q410" s="154">
        <f>Table1[[#This Row],[Agreement Value as per  Excel]]-Table1[[#This Row],[Amt Received as per Excel]]</f>
        <v>5515390</v>
      </c>
      <c r="R410" s="155">
        <f t="shared" si="12"/>
        <v>22006.835375001712</v>
      </c>
      <c r="S410" s="160"/>
      <c r="T410" s="161"/>
      <c r="U410" s="157"/>
    </row>
    <row r="411" spans="2:21" hidden="1" x14ac:dyDescent="0.3">
      <c r="B411" s="148">
        <v>394</v>
      </c>
      <c r="C411" s="148" t="s">
        <v>35</v>
      </c>
      <c r="D411" s="149" t="s">
        <v>225</v>
      </c>
      <c r="E411" s="150">
        <v>1308</v>
      </c>
      <c r="F411" s="150" t="s">
        <v>174</v>
      </c>
      <c r="G411" s="150" t="s">
        <v>169</v>
      </c>
      <c r="H411" s="150" t="s">
        <v>166</v>
      </c>
      <c r="I411" s="150" t="str">
        <f>Table1[[#This Row],[Wing]]&amp;-Table1[[#This Row],[Shop No / Office No. / Flat No.]]</f>
        <v>B-1308</v>
      </c>
      <c r="J411" s="175">
        <v>88.58</v>
      </c>
      <c r="K411" s="151">
        <f t="shared" si="11"/>
        <v>953.47511999999995</v>
      </c>
      <c r="L411" s="152">
        <f>Table1[[#This Row],[RERA Carpet Area (Sq. Ft.)]]*1.1</f>
        <v>1048.8226320000001</v>
      </c>
      <c r="M411" s="153" t="s">
        <v>168</v>
      </c>
      <c r="N411" s="152" t="s">
        <v>168</v>
      </c>
      <c r="O411" s="152">
        <v>16712500</v>
      </c>
      <c r="P411" s="174">
        <v>2337000</v>
      </c>
      <c r="Q411" s="154">
        <f>Table1[[#This Row],[Agreement Value as per  Excel]]-Table1[[#This Row],[Amt Received as per Excel]]</f>
        <v>14375500</v>
      </c>
      <c r="R411" s="155">
        <f t="shared" si="12"/>
        <v>17527.987515814781</v>
      </c>
      <c r="S411" s="160"/>
      <c r="T411" s="161"/>
      <c r="U411" s="157"/>
    </row>
    <row r="412" spans="2:21" hidden="1" x14ac:dyDescent="0.3">
      <c r="B412" s="148">
        <v>395</v>
      </c>
      <c r="C412" s="148" t="s">
        <v>35</v>
      </c>
      <c r="D412" s="149" t="s">
        <v>225</v>
      </c>
      <c r="E412" s="150">
        <v>1309</v>
      </c>
      <c r="F412" s="150" t="s">
        <v>172</v>
      </c>
      <c r="G412" s="150" t="s">
        <v>169</v>
      </c>
      <c r="H412" s="150" t="s">
        <v>166</v>
      </c>
      <c r="I412" s="150" t="str">
        <f>Table1[[#This Row],[Wing]]&amp;-Table1[[#This Row],[Shop No / Office No. / Flat No.]]</f>
        <v>B-1309</v>
      </c>
      <c r="J412" s="175">
        <v>65.16</v>
      </c>
      <c r="K412" s="151">
        <f t="shared" si="11"/>
        <v>701.38223999999991</v>
      </c>
      <c r="L412" s="152">
        <f>Table1[[#This Row],[RERA Carpet Area (Sq. Ft.)]]*1.1</f>
        <v>771.52046399999995</v>
      </c>
      <c r="M412" s="153" t="s">
        <v>168</v>
      </c>
      <c r="N412" s="152" t="s">
        <v>168</v>
      </c>
      <c r="O412" s="152">
        <v>17202000</v>
      </c>
      <c r="P412" s="174">
        <v>3956460</v>
      </c>
      <c r="Q412" s="154">
        <f>Table1[[#This Row],[Agreement Value as per  Excel]]-Table1[[#This Row],[Amt Received as per Excel]]</f>
        <v>13245540</v>
      </c>
      <c r="R412" s="155">
        <f t="shared" si="12"/>
        <v>24525.856257780353</v>
      </c>
      <c r="S412" s="160"/>
      <c r="T412" s="161"/>
      <c r="U412" s="157"/>
    </row>
    <row r="413" spans="2:21" hidden="1" x14ac:dyDescent="0.3">
      <c r="B413" s="148">
        <v>396</v>
      </c>
      <c r="C413" s="148" t="s">
        <v>35</v>
      </c>
      <c r="D413" s="149" t="s">
        <v>225</v>
      </c>
      <c r="E413" s="150">
        <v>1310</v>
      </c>
      <c r="F413" s="150" t="s">
        <v>172</v>
      </c>
      <c r="G413" s="150" t="s">
        <v>169</v>
      </c>
      <c r="H413" s="150" t="s">
        <v>166</v>
      </c>
      <c r="I413" s="150" t="str">
        <f>Table1[[#This Row],[Wing]]&amp;-Table1[[#This Row],[Shop No / Office No. / Flat No.]]</f>
        <v>B-1310</v>
      </c>
      <c r="J413" s="175">
        <v>65.16</v>
      </c>
      <c r="K413" s="151">
        <f t="shared" si="11"/>
        <v>701.38223999999991</v>
      </c>
      <c r="L413" s="152">
        <f>Table1[[#This Row],[RERA Carpet Area (Sq. Ft.)]]*1.1</f>
        <v>771.52046399999995</v>
      </c>
      <c r="M413" s="153" t="s">
        <v>168</v>
      </c>
      <c r="N413" s="152" t="s">
        <v>168</v>
      </c>
      <c r="O413" s="152">
        <v>14805000</v>
      </c>
      <c r="P413" s="174">
        <v>3544242</v>
      </c>
      <c r="Q413" s="154">
        <f>Table1[[#This Row],[Agreement Value as per  Excel]]-Table1[[#This Row],[Amt Received as per Excel]]</f>
        <v>11260758</v>
      </c>
      <c r="R413" s="155">
        <f t="shared" si="12"/>
        <v>21108.318910384733</v>
      </c>
      <c r="S413" s="160"/>
      <c r="T413" s="161"/>
      <c r="U413" s="157"/>
    </row>
    <row r="414" spans="2:21" x14ac:dyDescent="0.3">
      <c r="B414" s="148">
        <v>397</v>
      </c>
      <c r="C414" s="148" t="s">
        <v>35</v>
      </c>
      <c r="D414" s="149" t="s">
        <v>226</v>
      </c>
      <c r="E414" s="150">
        <v>1401</v>
      </c>
      <c r="F414" s="150" t="s">
        <v>173</v>
      </c>
      <c r="G414" s="150" t="s">
        <v>169</v>
      </c>
      <c r="H414" s="150" t="s">
        <v>170</v>
      </c>
      <c r="I414" s="150" t="str">
        <f>Table1[[#This Row],[Wing]]&amp;-Table1[[#This Row],[Shop No / Office No. / Flat No.]]</f>
        <v>B-1401</v>
      </c>
      <c r="J414" s="173">
        <v>33.159999999999997</v>
      </c>
      <c r="K414" s="151">
        <f t="shared" si="11"/>
        <v>356.93423999999993</v>
      </c>
      <c r="L414" s="152">
        <f>Table1[[#This Row],[RERA Carpet Area (Sq. Ft.)]]*1.1</f>
        <v>392.62766399999998</v>
      </c>
      <c r="M414" s="153" t="s">
        <v>211</v>
      </c>
      <c r="N414" s="152" t="s">
        <v>266</v>
      </c>
      <c r="O414" s="152"/>
      <c r="P414" s="174"/>
      <c r="Q414" s="154">
        <f>Table1[[#This Row],[Agreement Value as per  Excel]]-Table1[[#This Row],[Amt Received as per Excel]]</f>
        <v>0</v>
      </c>
      <c r="R414" s="155">
        <f t="shared" si="12"/>
        <v>0</v>
      </c>
      <c r="S414" s="160"/>
      <c r="T414" s="161"/>
      <c r="U414" s="157"/>
    </row>
    <row r="415" spans="2:21" ht="66" hidden="1" x14ac:dyDescent="0.3">
      <c r="B415" s="167">
        <v>398</v>
      </c>
      <c r="C415" s="167" t="s">
        <v>35</v>
      </c>
      <c r="D415" s="169" t="s">
        <v>226</v>
      </c>
      <c r="E415" s="168">
        <v>1402</v>
      </c>
      <c r="F415" s="168" t="s">
        <v>172</v>
      </c>
      <c r="G415" s="168" t="s">
        <v>169</v>
      </c>
      <c r="H415" s="168" t="s">
        <v>166</v>
      </c>
      <c r="I415" s="168" t="str">
        <f>Table1[[#This Row],[Wing]]&amp;-Table1[[#This Row],[Shop No / Office No. / Flat No.]]</f>
        <v>B-1402</v>
      </c>
      <c r="J415" s="175">
        <v>62.04</v>
      </c>
      <c r="K415" s="159">
        <f t="shared" si="11"/>
        <v>667.79855999999995</v>
      </c>
      <c r="L415" s="170">
        <f>Table1[[#This Row],[RERA Carpet Area (Sq. Ft.)]]*1.1</f>
        <v>734.57841600000006</v>
      </c>
      <c r="M415" s="171" t="s">
        <v>211</v>
      </c>
      <c r="N415" s="170" t="s">
        <v>168</v>
      </c>
      <c r="O415" s="170">
        <v>12500000</v>
      </c>
      <c r="P415" s="176">
        <v>7354035</v>
      </c>
      <c r="Q415" s="154">
        <f>Table1[[#This Row],[Agreement Value as per  Excel]]-Table1[[#This Row],[Amt Received as per Excel]]</f>
        <v>5145965</v>
      </c>
      <c r="R415" s="155">
        <f t="shared" si="12"/>
        <v>18718.219458274965</v>
      </c>
      <c r="S415" s="160" t="s">
        <v>255</v>
      </c>
      <c r="T415" s="161"/>
      <c r="U415" s="157"/>
    </row>
    <row r="416" spans="2:21" x14ac:dyDescent="0.3">
      <c r="B416" s="148">
        <v>399</v>
      </c>
      <c r="C416" s="148" t="s">
        <v>35</v>
      </c>
      <c r="D416" s="149" t="s">
        <v>226</v>
      </c>
      <c r="E416" s="150">
        <v>1403</v>
      </c>
      <c r="F416" s="150" t="s">
        <v>172</v>
      </c>
      <c r="G416" s="150" t="s">
        <v>169</v>
      </c>
      <c r="H416" s="150" t="s">
        <v>166</v>
      </c>
      <c r="I416" s="150" t="str">
        <f>Table1[[#This Row],[Wing]]&amp;-Table1[[#This Row],[Shop No / Office No. / Flat No.]]</f>
        <v>B-1403</v>
      </c>
      <c r="J416" s="173">
        <v>62.04</v>
      </c>
      <c r="K416" s="151">
        <f t="shared" ref="K416:K479" si="13">IFERROR(J416*10.764,0)</f>
        <v>667.79855999999995</v>
      </c>
      <c r="L416" s="152">
        <f>Table1[[#This Row],[RERA Carpet Area (Sq. Ft.)]]*1.1</f>
        <v>734.57841600000006</v>
      </c>
      <c r="M416" s="153" t="s">
        <v>211</v>
      </c>
      <c r="N416" s="152" t="s">
        <v>265</v>
      </c>
      <c r="O416" s="272">
        <v>4816000</v>
      </c>
      <c r="P416" s="274">
        <v>4816000</v>
      </c>
      <c r="Q416" s="154">
        <f>Table1[[#This Row],[Agreement Value as per  Excel]]-Table1[[#This Row],[Amt Received as per Excel]]</f>
        <v>0</v>
      </c>
      <c r="R416" s="155">
        <f t="shared" si="12"/>
        <v>7211.7555928841784</v>
      </c>
      <c r="S416" s="160"/>
      <c r="T416" s="161"/>
      <c r="U416" s="157"/>
    </row>
    <row r="417" spans="2:21" hidden="1" x14ac:dyDescent="0.3">
      <c r="B417" s="148">
        <v>400</v>
      </c>
      <c r="C417" s="148" t="s">
        <v>35</v>
      </c>
      <c r="D417" s="149" t="s">
        <v>226</v>
      </c>
      <c r="E417" s="150">
        <v>1404</v>
      </c>
      <c r="F417" s="150" t="s">
        <v>173</v>
      </c>
      <c r="G417" s="150" t="s">
        <v>169</v>
      </c>
      <c r="H417" s="150" t="s">
        <v>170</v>
      </c>
      <c r="I417" s="150" t="str">
        <f>Table1[[#This Row],[Wing]]&amp;-Table1[[#This Row],[Shop No / Office No. / Flat No.]]</f>
        <v>B-1404</v>
      </c>
      <c r="J417" s="173">
        <v>33.159999999999997</v>
      </c>
      <c r="K417" s="151">
        <f t="shared" si="13"/>
        <v>356.93423999999993</v>
      </c>
      <c r="L417" s="152">
        <f>Table1[[#This Row],[RERA Carpet Area (Sq. Ft.)]]*1.1</f>
        <v>392.62766399999998</v>
      </c>
      <c r="M417" s="153" t="s">
        <v>167</v>
      </c>
      <c r="N417" s="152" t="s">
        <v>167</v>
      </c>
      <c r="O417" s="152"/>
      <c r="P417" s="174"/>
      <c r="Q417" s="154">
        <f>Table1[[#This Row],[Agreement Value as per  Excel]]-Table1[[#This Row],[Amt Received as per Excel]]</f>
        <v>0</v>
      </c>
      <c r="R417" s="155">
        <f t="shared" si="12"/>
        <v>0</v>
      </c>
      <c r="S417" s="160"/>
      <c r="T417" s="161"/>
      <c r="U417" s="157"/>
    </row>
    <row r="418" spans="2:21" hidden="1" x14ac:dyDescent="0.3">
      <c r="B418" s="148">
        <v>401</v>
      </c>
      <c r="C418" s="148" t="s">
        <v>35</v>
      </c>
      <c r="D418" s="149" t="s">
        <v>226</v>
      </c>
      <c r="E418" s="150">
        <v>1405</v>
      </c>
      <c r="F418" s="150" t="s">
        <v>172</v>
      </c>
      <c r="G418" s="150" t="s">
        <v>169</v>
      </c>
      <c r="H418" s="150" t="s">
        <v>166</v>
      </c>
      <c r="I418" s="150" t="str">
        <f>Table1[[#This Row],[Wing]]&amp;-Table1[[#This Row],[Shop No / Office No. / Flat No.]]</f>
        <v>B-1405</v>
      </c>
      <c r="J418" s="175">
        <v>66.23</v>
      </c>
      <c r="K418" s="151">
        <f t="shared" si="13"/>
        <v>712.89972</v>
      </c>
      <c r="L418" s="152">
        <f>Table1[[#This Row],[RERA Carpet Area (Sq. Ft.)]]*1.1</f>
        <v>784.18969200000004</v>
      </c>
      <c r="M418" s="153" t="s">
        <v>168</v>
      </c>
      <c r="N418" s="152" t="s">
        <v>168</v>
      </c>
      <c r="O418" s="152">
        <v>10575000</v>
      </c>
      <c r="P418" s="174">
        <v>10575000</v>
      </c>
      <c r="Q418" s="154">
        <f>Table1[[#This Row],[Agreement Value as per  Excel]]-Table1[[#This Row],[Amt Received as per Excel]]</f>
        <v>0</v>
      </c>
      <c r="R418" s="155">
        <f t="shared" si="12"/>
        <v>14833.783354550904</v>
      </c>
      <c r="S418" s="160"/>
      <c r="T418" s="161"/>
      <c r="U418" s="157"/>
    </row>
    <row r="419" spans="2:21" hidden="1" x14ac:dyDescent="0.3">
      <c r="B419" s="148">
        <v>402</v>
      </c>
      <c r="C419" s="148" t="s">
        <v>35</v>
      </c>
      <c r="D419" s="149" t="s">
        <v>226</v>
      </c>
      <c r="E419" s="150">
        <v>1406</v>
      </c>
      <c r="F419" s="150" t="s">
        <v>172</v>
      </c>
      <c r="G419" s="150" t="s">
        <v>169</v>
      </c>
      <c r="H419" s="150" t="s">
        <v>166</v>
      </c>
      <c r="I419" s="150" t="str">
        <f>Table1[[#This Row],[Wing]]&amp;-Table1[[#This Row],[Shop No / Office No. / Flat No.]]</f>
        <v>B-1406</v>
      </c>
      <c r="J419" s="175">
        <v>66.23</v>
      </c>
      <c r="K419" s="151">
        <f t="shared" si="13"/>
        <v>712.89972</v>
      </c>
      <c r="L419" s="152">
        <f>Table1[[#This Row],[RERA Carpet Area (Sq. Ft.)]]*1.1</f>
        <v>784.18969200000004</v>
      </c>
      <c r="M419" s="153" t="s">
        <v>168</v>
      </c>
      <c r="N419" s="152" t="s">
        <v>168</v>
      </c>
      <c r="O419" s="152">
        <v>10575000</v>
      </c>
      <c r="P419" s="174">
        <v>10575000</v>
      </c>
      <c r="Q419" s="154">
        <f>Table1[[#This Row],[Agreement Value as per  Excel]]-Table1[[#This Row],[Amt Received as per Excel]]</f>
        <v>0</v>
      </c>
      <c r="R419" s="155">
        <f t="shared" si="12"/>
        <v>14833.783354550904</v>
      </c>
      <c r="S419" s="160"/>
      <c r="T419" s="161"/>
      <c r="U419" s="157"/>
    </row>
    <row r="420" spans="2:21" hidden="1" x14ac:dyDescent="0.3">
      <c r="B420" s="148">
        <v>403</v>
      </c>
      <c r="C420" s="148" t="s">
        <v>35</v>
      </c>
      <c r="D420" s="149" t="s">
        <v>226</v>
      </c>
      <c r="E420" s="150">
        <v>1407</v>
      </c>
      <c r="F420" s="150" t="s">
        <v>174</v>
      </c>
      <c r="G420" s="150" t="s">
        <v>169</v>
      </c>
      <c r="H420" s="150" t="s">
        <v>166</v>
      </c>
      <c r="I420" s="150" t="str">
        <f>Table1[[#This Row],[Wing]]&amp;-Table1[[#This Row],[Shop No / Office No. / Flat No.]]</f>
        <v>B-1407</v>
      </c>
      <c r="J420" s="175">
        <v>88.58</v>
      </c>
      <c r="K420" s="151">
        <f t="shared" si="13"/>
        <v>953.47511999999995</v>
      </c>
      <c r="L420" s="152">
        <f>Table1[[#This Row],[RERA Carpet Area (Sq. Ft.)]]*1.1</f>
        <v>1048.8226320000001</v>
      </c>
      <c r="M420" s="153" t="s">
        <v>168</v>
      </c>
      <c r="N420" s="152" t="s">
        <v>168</v>
      </c>
      <c r="O420" s="152">
        <v>18373875</v>
      </c>
      <c r="P420" s="174">
        <v>10840586</v>
      </c>
      <c r="Q420" s="154">
        <f>Table1[[#This Row],[Agreement Value as per  Excel]]-Table1[[#This Row],[Amt Received as per Excel]]</f>
        <v>7533289</v>
      </c>
      <c r="R420" s="155">
        <f t="shared" si="12"/>
        <v>19270.429416134109</v>
      </c>
      <c r="S420" s="160"/>
      <c r="T420" s="161"/>
      <c r="U420" s="157"/>
    </row>
    <row r="421" spans="2:21" hidden="1" x14ac:dyDescent="0.3">
      <c r="B421" s="148">
        <v>404</v>
      </c>
      <c r="C421" s="148" t="s">
        <v>35</v>
      </c>
      <c r="D421" s="149" t="s">
        <v>226</v>
      </c>
      <c r="E421" s="150">
        <v>1408</v>
      </c>
      <c r="F421" s="150" t="s">
        <v>174</v>
      </c>
      <c r="G421" s="150" t="s">
        <v>169</v>
      </c>
      <c r="H421" s="150" t="s">
        <v>166</v>
      </c>
      <c r="I421" s="150" t="str">
        <f>Table1[[#This Row],[Wing]]&amp;-Table1[[#This Row],[Shop No / Office No. / Flat No.]]</f>
        <v>B-1408</v>
      </c>
      <c r="J421" s="175">
        <v>88.58</v>
      </c>
      <c r="K421" s="151">
        <f t="shared" si="13"/>
        <v>953.47511999999995</v>
      </c>
      <c r="L421" s="152">
        <f>Table1[[#This Row],[RERA Carpet Area (Sq. Ft.)]]*1.1</f>
        <v>1048.8226320000001</v>
      </c>
      <c r="M421" s="153" t="s">
        <v>168</v>
      </c>
      <c r="N421" s="152" t="s">
        <v>168</v>
      </c>
      <c r="O421" s="152">
        <v>16235000</v>
      </c>
      <c r="P421" s="174">
        <v>1612250</v>
      </c>
      <c r="Q421" s="154">
        <f>Table1[[#This Row],[Agreement Value as per  Excel]]-Table1[[#This Row],[Amt Received as per Excel]]</f>
        <v>14622750</v>
      </c>
      <c r="R421" s="155">
        <f t="shared" si="12"/>
        <v>17027.187872505787</v>
      </c>
      <c r="S421" s="160"/>
      <c r="T421" s="161"/>
      <c r="U421" s="157"/>
    </row>
    <row r="422" spans="2:21" hidden="1" x14ac:dyDescent="0.3">
      <c r="B422" s="148">
        <v>405</v>
      </c>
      <c r="C422" s="148" t="s">
        <v>35</v>
      </c>
      <c r="D422" s="149" t="s">
        <v>226</v>
      </c>
      <c r="E422" s="150">
        <v>1409</v>
      </c>
      <c r="F422" s="150" t="s">
        <v>172</v>
      </c>
      <c r="G422" s="150" t="s">
        <v>169</v>
      </c>
      <c r="H422" s="150" t="s">
        <v>166</v>
      </c>
      <c r="I422" s="150" t="str">
        <f>Table1[[#This Row],[Wing]]&amp;-Table1[[#This Row],[Shop No / Office No. / Flat No.]]</f>
        <v>B-1409</v>
      </c>
      <c r="J422" s="175">
        <v>65.16</v>
      </c>
      <c r="K422" s="151">
        <f t="shared" si="13"/>
        <v>701.38223999999991</v>
      </c>
      <c r="L422" s="152">
        <f>Table1[[#This Row],[RERA Carpet Area (Sq. Ft.)]]*1.1</f>
        <v>771.52046399999995</v>
      </c>
      <c r="M422" s="153" t="s">
        <v>168</v>
      </c>
      <c r="N422" s="152" t="s">
        <v>168</v>
      </c>
      <c r="O422" s="152">
        <v>14981250</v>
      </c>
      <c r="P422" s="174">
        <v>7853165</v>
      </c>
      <c r="Q422" s="154">
        <f>Table1[[#This Row],[Agreement Value as per  Excel]]-Table1[[#This Row],[Amt Received as per Excel]]</f>
        <v>7128085</v>
      </c>
      <c r="R422" s="155">
        <f t="shared" si="12"/>
        <v>21359.608421222645</v>
      </c>
      <c r="S422" s="160"/>
      <c r="T422" s="161"/>
      <c r="U422" s="157"/>
    </row>
    <row r="423" spans="2:21" hidden="1" x14ac:dyDescent="0.3">
      <c r="B423" s="148">
        <v>406</v>
      </c>
      <c r="C423" s="148" t="s">
        <v>35</v>
      </c>
      <c r="D423" s="149" t="s">
        <v>226</v>
      </c>
      <c r="E423" s="150">
        <v>1410</v>
      </c>
      <c r="F423" s="150" t="s">
        <v>172</v>
      </c>
      <c r="G423" s="150" t="s">
        <v>169</v>
      </c>
      <c r="H423" s="150" t="s">
        <v>166</v>
      </c>
      <c r="I423" s="150" t="str">
        <f>Table1[[#This Row],[Wing]]&amp;-Table1[[#This Row],[Shop No / Office No. / Flat No.]]</f>
        <v>B-1410</v>
      </c>
      <c r="J423" s="175">
        <v>65.16</v>
      </c>
      <c r="K423" s="151">
        <f t="shared" si="13"/>
        <v>701.38223999999991</v>
      </c>
      <c r="L423" s="152">
        <f>Table1[[#This Row],[RERA Carpet Area (Sq. Ft.)]]*1.1</f>
        <v>771.52046399999995</v>
      </c>
      <c r="M423" s="153" t="s">
        <v>168</v>
      </c>
      <c r="N423" s="152" t="s">
        <v>168</v>
      </c>
      <c r="O423" s="152">
        <v>13536000</v>
      </c>
      <c r="P423" s="174">
        <v>7922283</v>
      </c>
      <c r="Q423" s="154">
        <f>Table1[[#This Row],[Agreement Value as per  Excel]]-Table1[[#This Row],[Amt Received as per Excel]]</f>
        <v>5613717</v>
      </c>
      <c r="R423" s="155">
        <f t="shared" si="12"/>
        <v>19299.034432351753</v>
      </c>
      <c r="S423" s="160"/>
      <c r="T423" s="161"/>
      <c r="U423" s="157"/>
    </row>
    <row r="424" spans="2:21" hidden="1" x14ac:dyDescent="0.3">
      <c r="B424" s="148">
        <v>407</v>
      </c>
      <c r="C424" s="148" t="s">
        <v>35</v>
      </c>
      <c r="D424" s="149" t="s">
        <v>227</v>
      </c>
      <c r="E424" s="150">
        <v>1501</v>
      </c>
      <c r="F424" s="150" t="s">
        <v>173</v>
      </c>
      <c r="G424" s="150" t="s">
        <v>169</v>
      </c>
      <c r="H424" s="150" t="s">
        <v>170</v>
      </c>
      <c r="I424" s="150" t="str">
        <f>Table1[[#This Row],[Wing]]&amp;-Table1[[#This Row],[Shop No / Office No. / Flat No.]]</f>
        <v>B-1501</v>
      </c>
      <c r="J424" s="173">
        <v>33.159999999999997</v>
      </c>
      <c r="K424" s="151">
        <f t="shared" si="13"/>
        <v>356.93423999999993</v>
      </c>
      <c r="L424" s="152">
        <f>Table1[[#This Row],[RERA Carpet Area (Sq. Ft.)]]*1.1</f>
        <v>392.62766399999998</v>
      </c>
      <c r="M424" s="153" t="s">
        <v>167</v>
      </c>
      <c r="N424" s="152" t="s">
        <v>167</v>
      </c>
      <c r="O424" s="152"/>
      <c r="P424" s="174"/>
      <c r="Q424" s="154">
        <f>Table1[[#This Row],[Agreement Value as per  Excel]]-Table1[[#This Row],[Amt Received as per Excel]]</f>
        <v>0</v>
      </c>
      <c r="R424" s="155">
        <f t="shared" si="12"/>
        <v>0</v>
      </c>
      <c r="S424" s="160"/>
      <c r="T424" s="161"/>
      <c r="U424" s="157"/>
    </row>
    <row r="425" spans="2:21" x14ac:dyDescent="0.3">
      <c r="B425" s="148">
        <v>408</v>
      </c>
      <c r="C425" s="148" t="s">
        <v>35</v>
      </c>
      <c r="D425" s="149" t="s">
        <v>227</v>
      </c>
      <c r="E425" s="150">
        <v>1502</v>
      </c>
      <c r="F425" s="150" t="s">
        <v>172</v>
      </c>
      <c r="G425" s="150" t="s">
        <v>169</v>
      </c>
      <c r="H425" s="150" t="s">
        <v>166</v>
      </c>
      <c r="I425" s="150" t="str">
        <f>Table1[[#This Row],[Wing]]&amp;-Table1[[#This Row],[Shop No / Office No. / Flat No.]]</f>
        <v>B-1502</v>
      </c>
      <c r="J425" s="173">
        <v>62.04</v>
      </c>
      <c r="K425" s="151">
        <f t="shared" si="13"/>
        <v>667.79855999999995</v>
      </c>
      <c r="L425" s="152">
        <f>Table1[[#This Row],[RERA Carpet Area (Sq. Ft.)]]*1.1</f>
        <v>734.57841600000006</v>
      </c>
      <c r="M425" s="153" t="s">
        <v>211</v>
      </c>
      <c r="N425" s="152" t="s">
        <v>265</v>
      </c>
      <c r="O425" s="267">
        <v>2072000</v>
      </c>
      <c r="P425" s="270">
        <v>1377750</v>
      </c>
      <c r="Q425" s="154">
        <f>Table1[[#This Row],[Agreement Value as per  Excel]]-Table1[[#This Row],[Amt Received as per Excel]]</f>
        <v>694250</v>
      </c>
      <c r="R425" s="155">
        <f t="shared" si="12"/>
        <v>3102.732057403658</v>
      </c>
      <c r="S425" s="160"/>
      <c r="T425" s="161"/>
      <c r="U425" s="157"/>
    </row>
    <row r="426" spans="2:21" hidden="1" x14ac:dyDescent="0.3">
      <c r="B426" s="148">
        <v>409</v>
      </c>
      <c r="C426" s="148" t="s">
        <v>35</v>
      </c>
      <c r="D426" s="149" t="s">
        <v>227</v>
      </c>
      <c r="E426" s="150">
        <v>1503</v>
      </c>
      <c r="F426" s="150" t="s">
        <v>172</v>
      </c>
      <c r="G426" s="150" t="s">
        <v>169</v>
      </c>
      <c r="H426" s="150" t="s">
        <v>166</v>
      </c>
      <c r="I426" s="150" t="str">
        <f>Table1[[#This Row],[Wing]]&amp;-Table1[[#This Row],[Shop No / Office No. / Flat No.]]</f>
        <v>B-1503</v>
      </c>
      <c r="J426" s="175">
        <v>62.04</v>
      </c>
      <c r="K426" s="151">
        <f t="shared" si="13"/>
        <v>667.79855999999995</v>
      </c>
      <c r="L426" s="152">
        <f>Table1[[#This Row],[RERA Carpet Area (Sq. Ft.)]]*1.1</f>
        <v>734.57841600000006</v>
      </c>
      <c r="M426" s="153" t="s">
        <v>168</v>
      </c>
      <c r="N426" s="152" t="s">
        <v>168</v>
      </c>
      <c r="O426" s="152">
        <v>11158800</v>
      </c>
      <c r="P426" s="174">
        <v>8000000</v>
      </c>
      <c r="Q426" s="154">
        <f>Table1[[#This Row],[Agreement Value as per  Excel]]-Table1[[#This Row],[Amt Received as per Excel]]</f>
        <v>3158800</v>
      </c>
      <c r="R426" s="155">
        <f t="shared" si="12"/>
        <v>16709.829383279892</v>
      </c>
      <c r="S426" s="160"/>
      <c r="T426" s="161"/>
      <c r="U426" s="157"/>
    </row>
    <row r="427" spans="2:21" x14ac:dyDescent="0.3">
      <c r="B427" s="148">
        <v>410</v>
      </c>
      <c r="C427" s="148" t="s">
        <v>35</v>
      </c>
      <c r="D427" s="149" t="s">
        <v>227</v>
      </c>
      <c r="E427" s="150">
        <v>1504</v>
      </c>
      <c r="F427" s="150" t="s">
        <v>173</v>
      </c>
      <c r="G427" s="150" t="s">
        <v>169</v>
      </c>
      <c r="H427" s="150" t="s">
        <v>170</v>
      </c>
      <c r="I427" s="150" t="str">
        <f>Table1[[#This Row],[Wing]]&amp;-Table1[[#This Row],[Shop No / Office No. / Flat No.]]</f>
        <v>B-1504</v>
      </c>
      <c r="J427" s="173">
        <v>33.159999999999997</v>
      </c>
      <c r="K427" s="151">
        <f t="shared" si="13"/>
        <v>356.93423999999993</v>
      </c>
      <c r="L427" s="152">
        <f>Table1[[#This Row],[RERA Carpet Area (Sq. Ft.)]]*1.1</f>
        <v>392.62766399999998</v>
      </c>
      <c r="M427" s="153" t="s">
        <v>211</v>
      </c>
      <c r="N427" s="152" t="s">
        <v>266</v>
      </c>
      <c r="O427" s="152"/>
      <c r="P427" s="174"/>
      <c r="Q427" s="154">
        <f>Table1[[#This Row],[Agreement Value as per  Excel]]-Table1[[#This Row],[Amt Received as per Excel]]</f>
        <v>0</v>
      </c>
      <c r="R427" s="155">
        <f t="shared" si="12"/>
        <v>0</v>
      </c>
      <c r="S427" s="160"/>
      <c r="T427" s="161"/>
      <c r="U427" s="157"/>
    </row>
    <row r="428" spans="2:21" hidden="1" x14ac:dyDescent="0.3">
      <c r="B428" s="148">
        <v>411</v>
      </c>
      <c r="C428" s="148" t="s">
        <v>35</v>
      </c>
      <c r="D428" s="149" t="s">
        <v>227</v>
      </c>
      <c r="E428" s="150">
        <v>1505</v>
      </c>
      <c r="F428" s="150" t="s">
        <v>172</v>
      </c>
      <c r="G428" s="150" t="s">
        <v>169</v>
      </c>
      <c r="H428" s="150" t="s">
        <v>166</v>
      </c>
      <c r="I428" s="150" t="str">
        <f>Table1[[#This Row],[Wing]]&amp;-Table1[[#This Row],[Shop No / Office No. / Flat No.]]</f>
        <v>B-1505</v>
      </c>
      <c r="J428" s="175">
        <v>66.23</v>
      </c>
      <c r="K428" s="151">
        <f t="shared" si="13"/>
        <v>712.89972</v>
      </c>
      <c r="L428" s="152">
        <f>Table1[[#This Row],[RERA Carpet Area (Sq. Ft.)]]*1.1</f>
        <v>784.18969200000004</v>
      </c>
      <c r="M428" s="153" t="s">
        <v>168</v>
      </c>
      <c r="N428" s="152" t="s">
        <v>168</v>
      </c>
      <c r="O428" s="152">
        <v>13205000</v>
      </c>
      <c r="P428" s="174">
        <v>8024146</v>
      </c>
      <c r="Q428" s="154">
        <f>Table1[[#This Row],[Agreement Value as per  Excel]]-Table1[[#This Row],[Amt Received as per Excel]]</f>
        <v>5180854</v>
      </c>
      <c r="R428" s="155">
        <f t="shared" si="12"/>
        <v>18522.941768023138</v>
      </c>
      <c r="S428" s="160"/>
      <c r="T428" s="161"/>
      <c r="U428" s="157"/>
    </row>
    <row r="429" spans="2:21" hidden="1" x14ac:dyDescent="0.3">
      <c r="B429" s="148">
        <v>412</v>
      </c>
      <c r="C429" s="148" t="s">
        <v>35</v>
      </c>
      <c r="D429" s="149" t="s">
        <v>227</v>
      </c>
      <c r="E429" s="150">
        <v>1506</v>
      </c>
      <c r="F429" s="150" t="s">
        <v>172</v>
      </c>
      <c r="G429" s="150" t="s">
        <v>169</v>
      </c>
      <c r="H429" s="150" t="s">
        <v>166</v>
      </c>
      <c r="I429" s="150" t="str">
        <f>Table1[[#This Row],[Wing]]&amp;-Table1[[#This Row],[Shop No / Office No. / Flat No.]]</f>
        <v>B-1506</v>
      </c>
      <c r="J429" s="175">
        <v>66.23</v>
      </c>
      <c r="K429" s="151">
        <f t="shared" si="13"/>
        <v>712.89972</v>
      </c>
      <c r="L429" s="152">
        <f>Table1[[#This Row],[RERA Carpet Area (Sq. Ft.)]]*1.1</f>
        <v>784.18969200000004</v>
      </c>
      <c r="M429" s="153" t="s">
        <v>168</v>
      </c>
      <c r="N429" s="152" t="s">
        <v>168</v>
      </c>
      <c r="O429" s="152">
        <v>15510000</v>
      </c>
      <c r="P429" s="174">
        <v>8374900</v>
      </c>
      <c r="Q429" s="154">
        <f>Table1[[#This Row],[Agreement Value as per  Excel]]-Table1[[#This Row],[Amt Received as per Excel]]</f>
        <v>7135100</v>
      </c>
      <c r="R429" s="155">
        <f t="shared" si="12"/>
        <v>21756.215586674658</v>
      </c>
      <c r="S429" s="160"/>
      <c r="T429" s="161"/>
      <c r="U429" s="157"/>
    </row>
    <row r="430" spans="2:21" hidden="1" x14ac:dyDescent="0.3">
      <c r="B430" s="148">
        <v>413</v>
      </c>
      <c r="C430" s="148" t="s">
        <v>35</v>
      </c>
      <c r="D430" s="149" t="s">
        <v>227</v>
      </c>
      <c r="E430" s="150">
        <v>1507</v>
      </c>
      <c r="F430" s="150" t="s">
        <v>171</v>
      </c>
      <c r="G430" s="150" t="s">
        <v>171</v>
      </c>
      <c r="H430" s="150" t="s">
        <v>171</v>
      </c>
      <c r="I430" s="150" t="str">
        <f>Table1[[#This Row],[Wing]]&amp;-Table1[[#This Row],[Shop No / Office No. / Flat No.]]</f>
        <v>B-1507</v>
      </c>
      <c r="J430" s="173">
        <v>0</v>
      </c>
      <c r="K430" s="151">
        <f t="shared" si="13"/>
        <v>0</v>
      </c>
      <c r="L430" s="152">
        <f>Table1[[#This Row],[RERA Carpet Area (Sq. Ft.)]]*1.1</f>
        <v>0</v>
      </c>
      <c r="M430" s="150" t="s">
        <v>171</v>
      </c>
      <c r="N430" s="152" t="s">
        <v>264</v>
      </c>
      <c r="O430" s="152"/>
      <c r="P430" s="174"/>
      <c r="Q430" s="154">
        <f>Table1[[#This Row],[Agreement Value as per  Excel]]-Table1[[#This Row],[Amt Received as per Excel]]</f>
        <v>0</v>
      </c>
      <c r="R430" s="155">
        <f t="shared" si="12"/>
        <v>0</v>
      </c>
      <c r="S430" s="160"/>
      <c r="T430" s="161"/>
      <c r="U430" s="157"/>
    </row>
    <row r="431" spans="2:21" hidden="1" x14ac:dyDescent="0.3">
      <c r="B431" s="148">
        <v>414</v>
      </c>
      <c r="C431" s="148" t="s">
        <v>35</v>
      </c>
      <c r="D431" s="149" t="s">
        <v>227</v>
      </c>
      <c r="E431" s="150">
        <v>1508</v>
      </c>
      <c r="F431" s="150" t="s">
        <v>171</v>
      </c>
      <c r="G431" s="150" t="s">
        <v>171</v>
      </c>
      <c r="H431" s="150" t="s">
        <v>171</v>
      </c>
      <c r="I431" s="150" t="str">
        <f>Table1[[#This Row],[Wing]]&amp;-Table1[[#This Row],[Shop No / Office No. / Flat No.]]</f>
        <v>B-1508</v>
      </c>
      <c r="J431" s="173">
        <v>0</v>
      </c>
      <c r="K431" s="151">
        <f t="shared" si="13"/>
        <v>0</v>
      </c>
      <c r="L431" s="152">
        <f>Table1[[#This Row],[RERA Carpet Area (Sq. Ft.)]]*1.1</f>
        <v>0</v>
      </c>
      <c r="M431" s="150" t="s">
        <v>171</v>
      </c>
      <c r="N431" s="152" t="s">
        <v>264</v>
      </c>
      <c r="O431" s="152"/>
      <c r="P431" s="174"/>
      <c r="Q431" s="154">
        <f>Table1[[#This Row],[Agreement Value as per  Excel]]-Table1[[#This Row],[Amt Received as per Excel]]</f>
        <v>0</v>
      </c>
      <c r="R431" s="155">
        <f t="shared" si="12"/>
        <v>0</v>
      </c>
      <c r="S431" s="160"/>
      <c r="T431" s="161"/>
      <c r="U431" s="157"/>
    </row>
    <row r="432" spans="2:21" hidden="1" x14ac:dyDescent="0.3">
      <c r="B432" s="148">
        <v>415</v>
      </c>
      <c r="C432" s="148" t="s">
        <v>35</v>
      </c>
      <c r="D432" s="149" t="s">
        <v>227</v>
      </c>
      <c r="E432" s="150">
        <v>1509</v>
      </c>
      <c r="F432" s="150" t="s">
        <v>172</v>
      </c>
      <c r="G432" s="150" t="s">
        <v>169</v>
      </c>
      <c r="H432" s="150" t="s">
        <v>166</v>
      </c>
      <c r="I432" s="150" t="str">
        <f>Table1[[#This Row],[Wing]]&amp;-Table1[[#This Row],[Shop No / Office No. / Flat No.]]</f>
        <v>B-1509</v>
      </c>
      <c r="J432" s="175">
        <v>65.16</v>
      </c>
      <c r="K432" s="151">
        <f t="shared" si="13"/>
        <v>701.38223999999991</v>
      </c>
      <c r="L432" s="152">
        <f>Table1[[#This Row],[RERA Carpet Area (Sq. Ft.)]]*1.1</f>
        <v>771.52046399999995</v>
      </c>
      <c r="M432" s="153" t="s">
        <v>168</v>
      </c>
      <c r="N432" s="152" t="s">
        <v>168</v>
      </c>
      <c r="O432" s="152">
        <v>13888500</v>
      </c>
      <c r="P432" s="174">
        <v>8194215</v>
      </c>
      <c r="Q432" s="154">
        <f>Table1[[#This Row],[Agreement Value as per  Excel]]-Table1[[#This Row],[Amt Received as per Excel]]</f>
        <v>5694285</v>
      </c>
      <c r="R432" s="155">
        <f t="shared" si="12"/>
        <v>19801.613454027582</v>
      </c>
      <c r="S432" s="160"/>
      <c r="T432" s="161"/>
      <c r="U432" s="157"/>
    </row>
    <row r="433" spans="2:21" hidden="1" x14ac:dyDescent="0.3">
      <c r="B433" s="148">
        <v>416</v>
      </c>
      <c r="C433" s="148" t="s">
        <v>35</v>
      </c>
      <c r="D433" s="149" t="s">
        <v>227</v>
      </c>
      <c r="E433" s="150">
        <v>1510</v>
      </c>
      <c r="F433" s="150" t="s">
        <v>172</v>
      </c>
      <c r="G433" s="150" t="s">
        <v>169</v>
      </c>
      <c r="H433" s="150" t="s">
        <v>166</v>
      </c>
      <c r="I433" s="150" t="str">
        <f>Table1[[#This Row],[Wing]]&amp;-Table1[[#This Row],[Shop No / Office No. / Flat No.]]</f>
        <v>B-1510</v>
      </c>
      <c r="J433" s="175">
        <v>65.16</v>
      </c>
      <c r="K433" s="151">
        <f t="shared" si="13"/>
        <v>701.38223999999991</v>
      </c>
      <c r="L433" s="152">
        <f>Table1[[#This Row],[RERA Carpet Area (Sq. Ft.)]]*1.1</f>
        <v>771.52046399999995</v>
      </c>
      <c r="M433" s="153" t="s">
        <v>168</v>
      </c>
      <c r="N433" s="152" t="s">
        <v>168</v>
      </c>
      <c r="O433" s="152">
        <v>12302500</v>
      </c>
      <c r="P433" s="174">
        <v>7604524</v>
      </c>
      <c r="Q433" s="154">
        <f>Table1[[#This Row],[Agreement Value as per  Excel]]-Table1[[#This Row],[Amt Received as per Excel]]</f>
        <v>4697976</v>
      </c>
      <c r="R433" s="155">
        <f t="shared" si="12"/>
        <v>17540.364295508825</v>
      </c>
      <c r="S433" s="160"/>
      <c r="T433" s="161"/>
      <c r="U433" s="157"/>
    </row>
    <row r="434" spans="2:21" x14ac:dyDescent="0.3">
      <c r="B434" s="148">
        <v>417</v>
      </c>
      <c r="C434" s="148" t="s">
        <v>35</v>
      </c>
      <c r="D434" s="149" t="s">
        <v>228</v>
      </c>
      <c r="E434" s="150">
        <v>1601</v>
      </c>
      <c r="F434" s="150" t="s">
        <v>173</v>
      </c>
      <c r="G434" s="150" t="s">
        <v>169</v>
      </c>
      <c r="H434" s="150" t="s">
        <v>170</v>
      </c>
      <c r="I434" s="150" t="str">
        <f>Table1[[#This Row],[Wing]]&amp;-Table1[[#This Row],[Shop No / Office No. / Flat No.]]</f>
        <v>B-1601</v>
      </c>
      <c r="J434" s="173">
        <v>33.159999999999997</v>
      </c>
      <c r="K434" s="151">
        <f t="shared" si="13"/>
        <v>356.93423999999993</v>
      </c>
      <c r="L434" s="152">
        <f>Table1[[#This Row],[RERA Carpet Area (Sq. Ft.)]]*1.1</f>
        <v>392.62766399999998</v>
      </c>
      <c r="M434" s="153" t="s">
        <v>211</v>
      </c>
      <c r="N434" s="152" t="s">
        <v>266</v>
      </c>
      <c r="O434" s="152"/>
      <c r="P434" s="174"/>
      <c r="Q434" s="154">
        <f>Table1[[#This Row],[Agreement Value as per  Excel]]-Table1[[#This Row],[Amt Received as per Excel]]</f>
        <v>0</v>
      </c>
      <c r="R434" s="155">
        <f t="shared" si="12"/>
        <v>0</v>
      </c>
      <c r="S434" s="160"/>
      <c r="T434" s="161"/>
      <c r="U434" s="157"/>
    </row>
    <row r="435" spans="2:21" ht="66" hidden="1" x14ac:dyDescent="0.3">
      <c r="B435" s="167">
        <v>418</v>
      </c>
      <c r="C435" s="167" t="s">
        <v>35</v>
      </c>
      <c r="D435" s="169" t="s">
        <v>228</v>
      </c>
      <c r="E435" s="168">
        <v>1602</v>
      </c>
      <c r="F435" s="168" t="s">
        <v>172</v>
      </c>
      <c r="G435" s="168" t="s">
        <v>169</v>
      </c>
      <c r="H435" s="168" t="s">
        <v>166</v>
      </c>
      <c r="I435" s="168" t="str">
        <f>Table1[[#This Row],[Wing]]&amp;-Table1[[#This Row],[Shop No / Office No. / Flat No.]]</f>
        <v>B-1602</v>
      </c>
      <c r="J435" s="175">
        <v>62.04</v>
      </c>
      <c r="K435" s="159">
        <f t="shared" si="13"/>
        <v>667.79855999999995</v>
      </c>
      <c r="L435" s="170">
        <f>Table1[[#This Row],[RERA Carpet Area (Sq. Ft.)]]*1.1</f>
        <v>734.57841600000006</v>
      </c>
      <c r="M435" s="171" t="s">
        <v>211</v>
      </c>
      <c r="N435" s="170" t="s">
        <v>168</v>
      </c>
      <c r="O435" s="170">
        <v>16048000</v>
      </c>
      <c r="P435" s="176">
        <v>9307840</v>
      </c>
      <c r="Q435" s="154">
        <f>Table1[[#This Row],[Agreement Value as per  Excel]]-Table1[[#This Row],[Amt Received as per Excel]]</f>
        <v>6740160</v>
      </c>
      <c r="R435" s="155">
        <f t="shared" si="12"/>
        <v>24031.198869311731</v>
      </c>
      <c r="S435" s="160" t="s">
        <v>255</v>
      </c>
      <c r="T435" s="161"/>
      <c r="U435" s="157"/>
    </row>
    <row r="436" spans="2:21" hidden="1" x14ac:dyDescent="0.3">
      <c r="B436" s="148">
        <v>419</v>
      </c>
      <c r="C436" s="148" t="s">
        <v>35</v>
      </c>
      <c r="D436" s="149" t="s">
        <v>228</v>
      </c>
      <c r="E436" s="150">
        <v>1603</v>
      </c>
      <c r="F436" s="150" t="s">
        <v>172</v>
      </c>
      <c r="G436" s="150" t="s">
        <v>169</v>
      </c>
      <c r="H436" s="150" t="s">
        <v>166</v>
      </c>
      <c r="I436" s="150" t="str">
        <f>Table1[[#This Row],[Wing]]&amp;-Table1[[#This Row],[Shop No / Office No. / Flat No.]]</f>
        <v>B-1603</v>
      </c>
      <c r="J436" s="175">
        <v>62.04</v>
      </c>
      <c r="K436" s="151">
        <f t="shared" si="13"/>
        <v>667.79855999999995</v>
      </c>
      <c r="L436" s="152">
        <f>Table1[[#This Row],[RERA Carpet Area (Sq. Ft.)]]*1.1</f>
        <v>734.57841600000006</v>
      </c>
      <c r="M436" s="153" t="s">
        <v>168</v>
      </c>
      <c r="N436" s="152" t="s">
        <v>168</v>
      </c>
      <c r="O436" s="152">
        <v>14313600</v>
      </c>
      <c r="P436" s="174">
        <v>10000000</v>
      </c>
      <c r="Q436" s="154">
        <f>Table1[[#This Row],[Agreement Value as per  Excel]]-Table1[[#This Row],[Amt Received as per Excel]]</f>
        <v>4313600</v>
      </c>
      <c r="R436" s="155">
        <f t="shared" si="12"/>
        <v>21434.008483037163</v>
      </c>
      <c r="S436" s="160"/>
      <c r="T436" s="161"/>
      <c r="U436" s="157"/>
    </row>
    <row r="437" spans="2:21" x14ac:dyDescent="0.3">
      <c r="B437" s="148">
        <v>420</v>
      </c>
      <c r="C437" s="148" t="s">
        <v>35</v>
      </c>
      <c r="D437" s="149" t="s">
        <v>228</v>
      </c>
      <c r="E437" s="150">
        <v>1604</v>
      </c>
      <c r="F437" s="150" t="s">
        <v>173</v>
      </c>
      <c r="G437" s="150" t="s">
        <v>169</v>
      </c>
      <c r="H437" s="150" t="s">
        <v>170</v>
      </c>
      <c r="I437" s="150" t="str">
        <f>Table1[[#This Row],[Wing]]&amp;-Table1[[#This Row],[Shop No / Office No. / Flat No.]]</f>
        <v>B-1604</v>
      </c>
      <c r="J437" s="173">
        <v>33.159999999999997</v>
      </c>
      <c r="K437" s="151">
        <f t="shared" si="13"/>
        <v>356.93423999999993</v>
      </c>
      <c r="L437" s="152">
        <f>Table1[[#This Row],[RERA Carpet Area (Sq. Ft.)]]*1.1</f>
        <v>392.62766399999998</v>
      </c>
      <c r="M437" s="153" t="s">
        <v>167</v>
      </c>
      <c r="N437" s="152" t="s">
        <v>266</v>
      </c>
      <c r="O437" s="152"/>
      <c r="P437" s="174"/>
      <c r="Q437" s="154">
        <f>Table1[[#This Row],[Agreement Value as per  Excel]]-Table1[[#This Row],[Amt Received as per Excel]]</f>
        <v>0</v>
      </c>
      <c r="R437" s="155">
        <f t="shared" si="12"/>
        <v>0</v>
      </c>
      <c r="S437" s="160"/>
      <c r="T437" s="161"/>
      <c r="U437" s="157"/>
    </row>
    <row r="438" spans="2:21" hidden="1" x14ac:dyDescent="0.3">
      <c r="B438" s="148">
        <v>421</v>
      </c>
      <c r="C438" s="148" t="s">
        <v>35</v>
      </c>
      <c r="D438" s="149" t="s">
        <v>228</v>
      </c>
      <c r="E438" s="150">
        <v>1605</v>
      </c>
      <c r="F438" s="150" t="s">
        <v>172</v>
      </c>
      <c r="G438" s="150" t="s">
        <v>169</v>
      </c>
      <c r="H438" s="150" t="s">
        <v>166</v>
      </c>
      <c r="I438" s="150" t="str">
        <f>Table1[[#This Row],[Wing]]&amp;-Table1[[#This Row],[Shop No / Office No. / Flat No.]]</f>
        <v>B-1605</v>
      </c>
      <c r="J438" s="175">
        <v>66.23</v>
      </c>
      <c r="K438" s="151">
        <f t="shared" si="13"/>
        <v>712.89972</v>
      </c>
      <c r="L438" s="152">
        <f>Table1[[#This Row],[RERA Carpet Area (Sq. Ft.)]]*1.1</f>
        <v>784.18969200000004</v>
      </c>
      <c r="M438" s="153" t="s">
        <v>168</v>
      </c>
      <c r="N438" s="152" t="s">
        <v>168</v>
      </c>
      <c r="O438" s="152">
        <v>15265765</v>
      </c>
      <c r="P438" s="174">
        <v>8883324</v>
      </c>
      <c r="Q438" s="154">
        <f>Table1[[#This Row],[Agreement Value as per  Excel]]-Table1[[#This Row],[Amt Received as per Excel]]</f>
        <v>6382441</v>
      </c>
      <c r="R438" s="155">
        <f t="shared" si="12"/>
        <v>21413.621820471468</v>
      </c>
      <c r="S438" s="160"/>
      <c r="T438" s="161"/>
      <c r="U438" s="157"/>
    </row>
    <row r="439" spans="2:21" hidden="1" x14ac:dyDescent="0.3">
      <c r="B439" s="148">
        <v>422</v>
      </c>
      <c r="C439" s="148" t="s">
        <v>35</v>
      </c>
      <c r="D439" s="149" t="s">
        <v>228</v>
      </c>
      <c r="E439" s="150">
        <v>1606</v>
      </c>
      <c r="F439" s="150" t="s">
        <v>172</v>
      </c>
      <c r="G439" s="150" t="s">
        <v>169</v>
      </c>
      <c r="H439" s="150" t="s">
        <v>166</v>
      </c>
      <c r="I439" s="150" t="str">
        <f>Table1[[#This Row],[Wing]]&amp;-Table1[[#This Row],[Shop No / Office No. / Flat No.]]</f>
        <v>B-1606</v>
      </c>
      <c r="J439" s="175">
        <v>66.23</v>
      </c>
      <c r="K439" s="151">
        <f t="shared" si="13"/>
        <v>712.89972</v>
      </c>
      <c r="L439" s="152">
        <f>Table1[[#This Row],[RERA Carpet Area (Sq. Ft.)]]*1.1</f>
        <v>784.18969200000004</v>
      </c>
      <c r="M439" s="153" t="s">
        <v>168</v>
      </c>
      <c r="N439" s="152" t="s">
        <v>168</v>
      </c>
      <c r="O439" s="152">
        <v>15265765</v>
      </c>
      <c r="P439" s="174">
        <v>8883924</v>
      </c>
      <c r="Q439" s="154">
        <f>Table1[[#This Row],[Agreement Value as per  Excel]]-Table1[[#This Row],[Amt Received as per Excel]]</f>
        <v>6381841</v>
      </c>
      <c r="R439" s="155">
        <f t="shared" si="12"/>
        <v>21413.621820471468</v>
      </c>
      <c r="S439" s="160"/>
      <c r="T439" s="161"/>
      <c r="U439" s="157"/>
    </row>
    <row r="440" spans="2:21" hidden="1" x14ac:dyDescent="0.3">
      <c r="B440" s="148">
        <v>423</v>
      </c>
      <c r="C440" s="148" t="s">
        <v>35</v>
      </c>
      <c r="D440" s="149" t="s">
        <v>228</v>
      </c>
      <c r="E440" s="150">
        <v>1607</v>
      </c>
      <c r="F440" s="150" t="s">
        <v>174</v>
      </c>
      <c r="G440" s="150" t="s">
        <v>169</v>
      </c>
      <c r="H440" s="150" t="s">
        <v>166</v>
      </c>
      <c r="I440" s="150" t="str">
        <f>Table1[[#This Row],[Wing]]&amp;-Table1[[#This Row],[Shop No / Office No. / Flat No.]]</f>
        <v>B-1607</v>
      </c>
      <c r="J440" s="175">
        <v>88.58</v>
      </c>
      <c r="K440" s="151">
        <f t="shared" si="13"/>
        <v>953.47511999999995</v>
      </c>
      <c r="L440" s="152">
        <f>Table1[[#This Row],[RERA Carpet Area (Sq. Ft.)]]*1.1</f>
        <v>1048.8226320000001</v>
      </c>
      <c r="M440" s="153" t="s">
        <v>168</v>
      </c>
      <c r="N440" s="152" t="s">
        <v>168</v>
      </c>
      <c r="O440" s="152">
        <v>14325000</v>
      </c>
      <c r="P440" s="174">
        <v>8451750</v>
      </c>
      <c r="Q440" s="154">
        <f>Table1[[#This Row],[Agreement Value as per  Excel]]-Table1[[#This Row],[Amt Received as per Excel]]</f>
        <v>5873250</v>
      </c>
      <c r="R440" s="155">
        <f t="shared" si="12"/>
        <v>15023.989299269813</v>
      </c>
      <c r="S440" s="160"/>
      <c r="T440" s="161"/>
      <c r="U440" s="157"/>
    </row>
    <row r="441" spans="2:21" hidden="1" x14ac:dyDescent="0.3">
      <c r="B441" s="148">
        <v>424</v>
      </c>
      <c r="C441" s="148" t="s">
        <v>35</v>
      </c>
      <c r="D441" s="149" t="s">
        <v>228</v>
      </c>
      <c r="E441" s="150">
        <v>1608</v>
      </c>
      <c r="F441" s="150" t="s">
        <v>174</v>
      </c>
      <c r="G441" s="150" t="s">
        <v>169</v>
      </c>
      <c r="H441" s="150" t="s">
        <v>166</v>
      </c>
      <c r="I441" s="150" t="str">
        <f>Table1[[#This Row],[Wing]]&amp;-Table1[[#This Row],[Shop No / Office No. / Flat No.]]</f>
        <v>B-1608</v>
      </c>
      <c r="J441" s="173">
        <v>88.58</v>
      </c>
      <c r="K441" s="151">
        <f t="shared" si="13"/>
        <v>953.47511999999995</v>
      </c>
      <c r="L441" s="152">
        <f>Table1[[#This Row],[RERA Carpet Area (Sq. Ft.)]]*1.1</f>
        <v>1048.8226320000001</v>
      </c>
      <c r="M441" s="153" t="s">
        <v>167</v>
      </c>
      <c r="N441" s="152" t="s">
        <v>261</v>
      </c>
      <c r="O441" s="152"/>
      <c r="P441" s="174"/>
      <c r="Q441" s="154">
        <f>Table1[[#This Row],[Agreement Value as per  Excel]]-Table1[[#This Row],[Amt Received as per Excel]]</f>
        <v>0</v>
      </c>
      <c r="R441" s="155">
        <f t="shared" si="12"/>
        <v>0</v>
      </c>
      <c r="S441" s="160"/>
      <c r="T441" s="161"/>
      <c r="U441" s="157"/>
    </row>
    <row r="442" spans="2:21" hidden="1" x14ac:dyDescent="0.3">
      <c r="B442" s="148">
        <v>425</v>
      </c>
      <c r="C442" s="148" t="s">
        <v>35</v>
      </c>
      <c r="D442" s="149" t="s">
        <v>228</v>
      </c>
      <c r="E442" s="150">
        <v>1609</v>
      </c>
      <c r="F442" s="150" t="s">
        <v>172</v>
      </c>
      <c r="G442" s="150" t="s">
        <v>169</v>
      </c>
      <c r="H442" s="150" t="s">
        <v>166</v>
      </c>
      <c r="I442" s="150" t="str">
        <f>Table1[[#This Row],[Wing]]&amp;-Table1[[#This Row],[Shop No / Office No. / Flat No.]]</f>
        <v>B-1609</v>
      </c>
      <c r="J442" s="175">
        <v>65.16</v>
      </c>
      <c r="K442" s="151">
        <f t="shared" si="13"/>
        <v>701.38223999999991</v>
      </c>
      <c r="L442" s="152">
        <f>Table1[[#This Row],[RERA Carpet Area (Sq. Ft.)]]*1.1</f>
        <v>771.52046399999995</v>
      </c>
      <c r="M442" s="153" t="s">
        <v>168</v>
      </c>
      <c r="N442" s="152" t="s">
        <v>168</v>
      </c>
      <c r="O442" s="152">
        <v>13395000</v>
      </c>
      <c r="P442" s="174">
        <v>7769100</v>
      </c>
      <c r="Q442" s="154">
        <f>Table1[[#This Row],[Agreement Value as per  Excel]]-Table1[[#This Row],[Amt Received as per Excel]]</f>
        <v>5625900</v>
      </c>
      <c r="R442" s="155">
        <f t="shared" si="12"/>
        <v>19098.002823681425</v>
      </c>
      <c r="S442" s="160"/>
      <c r="T442" s="161"/>
      <c r="U442" s="157"/>
    </row>
    <row r="443" spans="2:21" hidden="1" x14ac:dyDescent="0.3">
      <c r="B443" s="148">
        <v>426</v>
      </c>
      <c r="C443" s="148" t="s">
        <v>35</v>
      </c>
      <c r="D443" s="149" t="s">
        <v>228</v>
      </c>
      <c r="E443" s="150">
        <v>1610</v>
      </c>
      <c r="F443" s="150" t="s">
        <v>172</v>
      </c>
      <c r="G443" s="150" t="s">
        <v>169</v>
      </c>
      <c r="H443" s="150" t="s">
        <v>166</v>
      </c>
      <c r="I443" s="150" t="str">
        <f>Table1[[#This Row],[Wing]]&amp;-Table1[[#This Row],[Shop No / Office No. / Flat No.]]</f>
        <v>B-1610</v>
      </c>
      <c r="J443" s="175">
        <v>65.16</v>
      </c>
      <c r="K443" s="151">
        <f t="shared" si="13"/>
        <v>701.38223999999991</v>
      </c>
      <c r="L443" s="152">
        <f>Table1[[#This Row],[RERA Carpet Area (Sq. Ft.)]]*1.1</f>
        <v>771.52046399999995</v>
      </c>
      <c r="M443" s="153" t="s">
        <v>168</v>
      </c>
      <c r="N443" s="152" t="s">
        <v>168</v>
      </c>
      <c r="O443" s="152">
        <v>13292000</v>
      </c>
      <c r="P443" s="174">
        <v>7842280</v>
      </c>
      <c r="Q443" s="154">
        <f>Table1[[#This Row],[Agreement Value as per  Excel]]-Table1[[#This Row],[Amt Received as per Excel]]</f>
        <v>5449720</v>
      </c>
      <c r="R443" s="155">
        <f t="shared" si="12"/>
        <v>18951.14994642579</v>
      </c>
      <c r="S443" s="160"/>
      <c r="T443" s="161"/>
      <c r="U443" s="157"/>
    </row>
    <row r="444" spans="2:21" x14ac:dyDescent="0.3">
      <c r="B444" s="148">
        <v>427</v>
      </c>
      <c r="C444" s="148" t="s">
        <v>35</v>
      </c>
      <c r="D444" s="149" t="s">
        <v>229</v>
      </c>
      <c r="E444" s="150">
        <v>1701</v>
      </c>
      <c r="F444" s="150" t="s">
        <v>173</v>
      </c>
      <c r="G444" s="150" t="s">
        <v>169</v>
      </c>
      <c r="H444" s="150" t="s">
        <v>170</v>
      </c>
      <c r="I444" s="150" t="str">
        <f>Table1[[#This Row],[Wing]]&amp;-Table1[[#This Row],[Shop No / Office No. / Flat No.]]</f>
        <v>B-1701</v>
      </c>
      <c r="J444" s="173">
        <v>33.159999999999997</v>
      </c>
      <c r="K444" s="151">
        <f t="shared" si="13"/>
        <v>356.93423999999993</v>
      </c>
      <c r="L444" s="152">
        <f>Table1[[#This Row],[RERA Carpet Area (Sq. Ft.)]]*1.1</f>
        <v>392.62766399999998</v>
      </c>
      <c r="M444" s="153" t="s">
        <v>211</v>
      </c>
      <c r="N444" s="152" t="s">
        <v>266</v>
      </c>
      <c r="O444" s="152"/>
      <c r="P444" s="174"/>
      <c r="Q444" s="154">
        <f>Table1[[#This Row],[Agreement Value as per  Excel]]-Table1[[#This Row],[Amt Received as per Excel]]</f>
        <v>0</v>
      </c>
      <c r="R444" s="155">
        <f t="shared" si="12"/>
        <v>0</v>
      </c>
      <c r="S444" s="160"/>
      <c r="T444" s="161"/>
      <c r="U444" s="157"/>
    </row>
    <row r="445" spans="2:21" hidden="1" x14ac:dyDescent="0.3">
      <c r="B445" s="148">
        <v>428</v>
      </c>
      <c r="C445" s="148" t="s">
        <v>35</v>
      </c>
      <c r="D445" s="149" t="s">
        <v>229</v>
      </c>
      <c r="E445" s="150">
        <v>1702</v>
      </c>
      <c r="F445" s="150" t="s">
        <v>172</v>
      </c>
      <c r="G445" s="150" t="s">
        <v>169</v>
      </c>
      <c r="H445" s="150" t="s">
        <v>166</v>
      </c>
      <c r="I445" s="150" t="str">
        <f>Table1[[#This Row],[Wing]]&amp;-Table1[[#This Row],[Shop No / Office No. / Flat No.]]</f>
        <v>B-1702</v>
      </c>
      <c r="J445" s="175">
        <v>62.04</v>
      </c>
      <c r="K445" s="151">
        <f t="shared" si="13"/>
        <v>667.79855999999995</v>
      </c>
      <c r="L445" s="152">
        <f>Table1[[#This Row],[RERA Carpet Area (Sq. Ft.)]]*1.1</f>
        <v>734.57841600000006</v>
      </c>
      <c r="M445" s="153" t="s">
        <v>168</v>
      </c>
      <c r="N445" s="152" t="s">
        <v>168</v>
      </c>
      <c r="O445" s="152">
        <v>15575000</v>
      </c>
      <c r="P445" s="174">
        <v>9033500</v>
      </c>
      <c r="Q445" s="154">
        <f>Table1[[#This Row],[Agreement Value as per  Excel]]-Table1[[#This Row],[Amt Received as per Excel]]</f>
        <v>6541500</v>
      </c>
      <c r="R445" s="155">
        <f t="shared" si="12"/>
        <v>23322.901445010604</v>
      </c>
      <c r="S445" s="160"/>
      <c r="T445" s="161"/>
      <c r="U445" s="157"/>
    </row>
    <row r="446" spans="2:21" hidden="1" x14ac:dyDescent="0.3">
      <c r="B446" s="148">
        <v>429</v>
      </c>
      <c r="C446" s="148" t="s">
        <v>35</v>
      </c>
      <c r="D446" s="149" t="s">
        <v>229</v>
      </c>
      <c r="E446" s="150">
        <v>1703</v>
      </c>
      <c r="F446" s="150" t="s">
        <v>172</v>
      </c>
      <c r="G446" s="150" t="s">
        <v>169</v>
      </c>
      <c r="H446" s="150" t="s">
        <v>166</v>
      </c>
      <c r="I446" s="150" t="str">
        <f>Table1[[#This Row],[Wing]]&amp;-Table1[[#This Row],[Shop No / Office No. / Flat No.]]</f>
        <v>B-1703</v>
      </c>
      <c r="J446" s="173">
        <v>62.04</v>
      </c>
      <c r="K446" s="151">
        <f t="shared" si="13"/>
        <v>667.79855999999995</v>
      </c>
      <c r="L446" s="152">
        <f>Table1[[#This Row],[RERA Carpet Area (Sq. Ft.)]]*1.1</f>
        <v>734.57841600000006</v>
      </c>
      <c r="M446" s="153" t="s">
        <v>167</v>
      </c>
      <c r="N446" s="152" t="s">
        <v>168</v>
      </c>
      <c r="O446" s="152">
        <v>17014700</v>
      </c>
      <c r="P446" s="174">
        <v>7834100</v>
      </c>
      <c r="Q446" s="154">
        <f>Table1[[#This Row],[Agreement Value as per  Excel]]-Table1[[#This Row],[Amt Received as per Excel]]</f>
        <v>9180600</v>
      </c>
      <c r="R446" s="155">
        <f t="shared" si="12"/>
        <v>25478.791089336883</v>
      </c>
      <c r="S446" s="160"/>
      <c r="T446" s="161"/>
      <c r="U446" s="157"/>
    </row>
    <row r="447" spans="2:21" x14ac:dyDescent="0.3">
      <c r="B447" s="148">
        <v>430</v>
      </c>
      <c r="C447" s="148" t="s">
        <v>35</v>
      </c>
      <c r="D447" s="149" t="s">
        <v>229</v>
      </c>
      <c r="E447" s="150">
        <v>1704</v>
      </c>
      <c r="F447" s="150" t="s">
        <v>173</v>
      </c>
      <c r="G447" s="150" t="s">
        <v>169</v>
      </c>
      <c r="H447" s="150" t="s">
        <v>170</v>
      </c>
      <c r="I447" s="150" t="str">
        <f>Table1[[#This Row],[Wing]]&amp;-Table1[[#This Row],[Shop No / Office No. / Flat No.]]</f>
        <v>B-1704</v>
      </c>
      <c r="J447" s="173">
        <v>33.159999999999997</v>
      </c>
      <c r="K447" s="151">
        <f t="shared" si="13"/>
        <v>356.93423999999993</v>
      </c>
      <c r="L447" s="152">
        <f>Table1[[#This Row],[RERA Carpet Area (Sq. Ft.)]]*1.1</f>
        <v>392.62766399999998</v>
      </c>
      <c r="M447" s="153" t="s">
        <v>211</v>
      </c>
      <c r="N447" s="152" t="s">
        <v>265</v>
      </c>
      <c r="O447" s="267">
        <v>74000</v>
      </c>
      <c r="P447" s="270">
        <v>74000</v>
      </c>
      <c r="Q447" s="154">
        <f>Table1[[#This Row],[Agreement Value as per  Excel]]-Table1[[#This Row],[Amt Received as per Excel]]</f>
        <v>0</v>
      </c>
      <c r="R447" s="155">
        <f t="shared" si="12"/>
        <v>207.32110206070456</v>
      </c>
      <c r="S447" s="160"/>
      <c r="T447" s="161"/>
      <c r="U447" s="157"/>
    </row>
    <row r="448" spans="2:21" hidden="1" x14ac:dyDescent="0.3">
      <c r="B448" s="148">
        <v>431</v>
      </c>
      <c r="C448" s="148" t="s">
        <v>35</v>
      </c>
      <c r="D448" s="149" t="s">
        <v>229</v>
      </c>
      <c r="E448" s="150">
        <v>1705</v>
      </c>
      <c r="F448" s="150" t="s">
        <v>172</v>
      </c>
      <c r="G448" s="150" t="s">
        <v>169</v>
      </c>
      <c r="H448" s="150" t="s">
        <v>166</v>
      </c>
      <c r="I448" s="150" t="str">
        <f>Table1[[#This Row],[Wing]]&amp;-Table1[[#This Row],[Shop No / Office No. / Flat No.]]</f>
        <v>B-1705</v>
      </c>
      <c r="J448" s="173">
        <v>66.23</v>
      </c>
      <c r="K448" s="151">
        <f t="shared" si="13"/>
        <v>712.89972</v>
      </c>
      <c r="L448" s="152">
        <f>Table1[[#This Row],[RERA Carpet Area (Sq. Ft.)]]*1.1</f>
        <v>784.18969200000004</v>
      </c>
      <c r="M448" s="153" t="s">
        <v>167</v>
      </c>
      <c r="N448" s="152" t="s">
        <v>168</v>
      </c>
      <c r="O448" s="152">
        <v>17448750</v>
      </c>
      <c r="P448" s="174">
        <v>9047969</v>
      </c>
      <c r="Q448" s="154">
        <f>Table1[[#This Row],[Agreement Value as per  Excel]]-Table1[[#This Row],[Amt Received as per Excel]]</f>
        <v>8400781</v>
      </c>
      <c r="R448" s="155">
        <f t="shared" si="12"/>
        <v>24475.742535008991</v>
      </c>
      <c r="S448" s="160"/>
      <c r="T448" s="161"/>
      <c r="U448" s="157"/>
    </row>
    <row r="449" spans="2:21" hidden="1" x14ac:dyDescent="0.3">
      <c r="B449" s="148">
        <v>432</v>
      </c>
      <c r="C449" s="148" t="s">
        <v>35</v>
      </c>
      <c r="D449" s="149" t="s">
        <v>229</v>
      </c>
      <c r="E449" s="150">
        <v>1706</v>
      </c>
      <c r="F449" s="150" t="s">
        <v>172</v>
      </c>
      <c r="G449" s="150" t="s">
        <v>169</v>
      </c>
      <c r="H449" s="150" t="s">
        <v>166</v>
      </c>
      <c r="I449" s="150" t="str">
        <f>Table1[[#This Row],[Wing]]&amp;-Table1[[#This Row],[Shop No / Office No. / Flat No.]]</f>
        <v>B-1706</v>
      </c>
      <c r="J449" s="175">
        <v>66.23</v>
      </c>
      <c r="K449" s="151">
        <f t="shared" si="13"/>
        <v>712.89972</v>
      </c>
      <c r="L449" s="152">
        <f>Table1[[#This Row],[RERA Carpet Area (Sq. Ft.)]]*1.1</f>
        <v>784.18969200000004</v>
      </c>
      <c r="M449" s="153" t="s">
        <v>168</v>
      </c>
      <c r="N449" s="152" t="s">
        <v>168</v>
      </c>
      <c r="O449" s="152">
        <v>16482195</v>
      </c>
      <c r="P449" s="174">
        <v>9627249</v>
      </c>
      <c r="Q449" s="154">
        <f>Table1[[#This Row],[Agreement Value as per  Excel]]-Table1[[#This Row],[Amt Received as per Excel]]</f>
        <v>6854946</v>
      </c>
      <c r="R449" s="155">
        <f t="shared" si="12"/>
        <v>23119.93473640304</v>
      </c>
      <c r="S449" s="160"/>
      <c r="T449" s="161"/>
      <c r="U449" s="157"/>
    </row>
    <row r="450" spans="2:21" hidden="1" x14ac:dyDescent="0.3">
      <c r="B450" s="148">
        <v>433</v>
      </c>
      <c r="C450" s="148" t="s">
        <v>35</v>
      </c>
      <c r="D450" s="149" t="s">
        <v>229</v>
      </c>
      <c r="E450" s="150">
        <v>1707</v>
      </c>
      <c r="F450" s="150" t="s">
        <v>174</v>
      </c>
      <c r="G450" s="150" t="s">
        <v>169</v>
      </c>
      <c r="H450" s="150" t="s">
        <v>166</v>
      </c>
      <c r="I450" s="150" t="str">
        <f>Table1[[#This Row],[Wing]]&amp;-Table1[[#This Row],[Shop No / Office No. / Flat No.]]</f>
        <v>B-1707</v>
      </c>
      <c r="J450" s="173">
        <v>88.58</v>
      </c>
      <c r="K450" s="151">
        <f t="shared" si="13"/>
        <v>953.47511999999995</v>
      </c>
      <c r="L450" s="152">
        <f>Table1[[#This Row],[RERA Carpet Area (Sq. Ft.)]]*1.1</f>
        <v>1048.8226320000001</v>
      </c>
      <c r="M450" s="153" t="s">
        <v>167</v>
      </c>
      <c r="N450" s="152" t="s">
        <v>168</v>
      </c>
      <c r="O450" s="152">
        <v>16617000</v>
      </c>
      <c r="P450" s="174">
        <v>7300000</v>
      </c>
      <c r="Q450" s="154">
        <f>Table1[[#This Row],[Agreement Value as per  Excel]]-Table1[[#This Row],[Amt Received as per Excel]]</f>
        <v>9317000</v>
      </c>
      <c r="R450" s="155">
        <f t="shared" si="12"/>
        <v>17427.827587152984</v>
      </c>
      <c r="S450" s="160"/>
      <c r="T450" s="161"/>
      <c r="U450" s="157"/>
    </row>
    <row r="451" spans="2:21" hidden="1" x14ac:dyDescent="0.3">
      <c r="B451" s="148">
        <v>434</v>
      </c>
      <c r="C451" s="148" t="s">
        <v>35</v>
      </c>
      <c r="D451" s="149" t="s">
        <v>229</v>
      </c>
      <c r="E451" s="150">
        <v>1708</v>
      </c>
      <c r="F451" s="150" t="s">
        <v>174</v>
      </c>
      <c r="G451" s="150" t="s">
        <v>169</v>
      </c>
      <c r="H451" s="150" t="s">
        <v>166</v>
      </c>
      <c r="I451" s="150" t="str">
        <f>Table1[[#This Row],[Wing]]&amp;-Table1[[#This Row],[Shop No / Office No. / Flat No.]]</f>
        <v>B-1708</v>
      </c>
      <c r="J451" s="175">
        <v>88.58</v>
      </c>
      <c r="K451" s="151">
        <f t="shared" si="13"/>
        <v>953.47511999999995</v>
      </c>
      <c r="L451" s="152">
        <f>Table1[[#This Row],[RERA Carpet Area (Sq. Ft.)]]*1.1</f>
        <v>1048.8226320000001</v>
      </c>
      <c r="M451" s="153" t="s">
        <v>168</v>
      </c>
      <c r="N451" s="152" t="s">
        <v>168</v>
      </c>
      <c r="O451" s="152">
        <v>19100000</v>
      </c>
      <c r="P451" s="174">
        <v>1773000</v>
      </c>
      <c r="Q451" s="154">
        <f>Table1[[#This Row],[Agreement Value as per  Excel]]-Table1[[#This Row],[Amt Received as per Excel]]</f>
        <v>17327000</v>
      </c>
      <c r="R451" s="155">
        <f t="shared" ref="R451:R484" si="14">IFERROR(O451/K451,0)</f>
        <v>20031.98573235975</v>
      </c>
      <c r="S451" s="160"/>
      <c r="T451" s="161"/>
      <c r="U451" s="157"/>
    </row>
    <row r="452" spans="2:21" hidden="1" x14ac:dyDescent="0.3">
      <c r="B452" s="148">
        <v>435</v>
      </c>
      <c r="C452" s="148" t="s">
        <v>35</v>
      </c>
      <c r="D452" s="149" t="s">
        <v>229</v>
      </c>
      <c r="E452" s="150">
        <v>1709</v>
      </c>
      <c r="F452" s="150" t="s">
        <v>172</v>
      </c>
      <c r="G452" s="150" t="s">
        <v>169</v>
      </c>
      <c r="H452" s="150" t="s">
        <v>166</v>
      </c>
      <c r="I452" s="150" t="str">
        <f>Table1[[#This Row],[Wing]]&amp;-Table1[[#This Row],[Shop No / Office No. / Flat No.]]</f>
        <v>B-1709</v>
      </c>
      <c r="J452" s="175">
        <v>65.16</v>
      </c>
      <c r="K452" s="151">
        <f t="shared" si="13"/>
        <v>701.38223999999991</v>
      </c>
      <c r="L452" s="152">
        <f>Table1[[#This Row],[RERA Carpet Area (Sq. Ft.)]]*1.1</f>
        <v>771.52046399999995</v>
      </c>
      <c r="M452" s="153" t="s">
        <v>168</v>
      </c>
      <c r="N452" s="152" t="s">
        <v>168</v>
      </c>
      <c r="O452" s="152">
        <v>10575000</v>
      </c>
      <c r="P452" s="174">
        <v>500000</v>
      </c>
      <c r="Q452" s="154">
        <f>Table1[[#This Row],[Agreement Value as per  Excel]]-Table1[[#This Row],[Amt Received as per Excel]]</f>
        <v>10075000</v>
      </c>
      <c r="R452" s="155">
        <f t="shared" si="14"/>
        <v>15077.370650274808</v>
      </c>
      <c r="S452" s="160"/>
      <c r="T452" s="161"/>
      <c r="U452" s="157"/>
    </row>
    <row r="453" spans="2:21" hidden="1" x14ac:dyDescent="0.3">
      <c r="B453" s="148">
        <v>436</v>
      </c>
      <c r="C453" s="148" t="s">
        <v>35</v>
      </c>
      <c r="D453" s="149" t="s">
        <v>229</v>
      </c>
      <c r="E453" s="150">
        <v>1710</v>
      </c>
      <c r="F453" s="150" t="s">
        <v>172</v>
      </c>
      <c r="G453" s="150" t="s">
        <v>169</v>
      </c>
      <c r="H453" s="150" t="s">
        <v>166</v>
      </c>
      <c r="I453" s="150" t="str">
        <f>Table1[[#This Row],[Wing]]&amp;-Table1[[#This Row],[Shop No / Office No. / Flat No.]]</f>
        <v>B-1710</v>
      </c>
      <c r="J453" s="173">
        <v>65.16</v>
      </c>
      <c r="K453" s="151">
        <f t="shared" si="13"/>
        <v>701.38223999999991</v>
      </c>
      <c r="L453" s="152">
        <f>Table1[[#This Row],[RERA Carpet Area (Sq. Ft.)]]*1.1</f>
        <v>771.52046399999995</v>
      </c>
      <c r="M453" s="153" t="s">
        <v>167</v>
      </c>
      <c r="N453" s="152" t="s">
        <v>168</v>
      </c>
      <c r="O453" s="152">
        <v>13500000</v>
      </c>
      <c r="P453" s="174">
        <v>300000</v>
      </c>
      <c r="Q453" s="154">
        <f>Table1[[#This Row],[Agreement Value as per  Excel]]-Table1[[#This Row],[Amt Received as per Excel]]</f>
        <v>13200000</v>
      </c>
      <c r="R453" s="155">
        <f t="shared" si="14"/>
        <v>19247.707213116777</v>
      </c>
      <c r="S453" s="160"/>
      <c r="T453" s="161"/>
      <c r="U453" s="157"/>
    </row>
    <row r="454" spans="2:21" x14ac:dyDescent="0.3">
      <c r="B454" s="148">
        <v>437</v>
      </c>
      <c r="C454" s="148" t="s">
        <v>35</v>
      </c>
      <c r="D454" s="149" t="s">
        <v>230</v>
      </c>
      <c r="E454" s="150">
        <v>1801</v>
      </c>
      <c r="F454" s="150" t="s">
        <v>173</v>
      </c>
      <c r="G454" s="150" t="s">
        <v>169</v>
      </c>
      <c r="H454" s="150" t="s">
        <v>170</v>
      </c>
      <c r="I454" s="150" t="str">
        <f>Table1[[#This Row],[Wing]]&amp;-Table1[[#This Row],[Shop No / Office No. / Flat No.]]</f>
        <v>B-1801</v>
      </c>
      <c r="J454" s="173">
        <v>33.159999999999997</v>
      </c>
      <c r="K454" s="151">
        <f t="shared" si="13"/>
        <v>356.93423999999993</v>
      </c>
      <c r="L454" s="152">
        <f>Table1[[#This Row],[RERA Carpet Area (Sq. Ft.)]]*1.1</f>
        <v>392.62766399999998</v>
      </c>
      <c r="M454" s="153" t="s">
        <v>211</v>
      </c>
      <c r="N454" s="152" t="s">
        <v>266</v>
      </c>
      <c r="O454" s="152"/>
      <c r="P454" s="174"/>
      <c r="Q454" s="154">
        <f>Table1[[#This Row],[Agreement Value as per  Excel]]-Table1[[#This Row],[Amt Received as per Excel]]</f>
        <v>0</v>
      </c>
      <c r="R454" s="155">
        <f t="shared" si="14"/>
        <v>0</v>
      </c>
      <c r="S454" s="160"/>
      <c r="T454" s="161"/>
      <c r="U454" s="157"/>
    </row>
    <row r="455" spans="2:21" hidden="1" x14ac:dyDescent="0.3">
      <c r="B455" s="148">
        <v>438</v>
      </c>
      <c r="C455" s="148" t="s">
        <v>35</v>
      </c>
      <c r="D455" s="149" t="s">
        <v>230</v>
      </c>
      <c r="E455" s="150">
        <v>1802</v>
      </c>
      <c r="F455" s="150" t="s">
        <v>172</v>
      </c>
      <c r="G455" s="150" t="s">
        <v>169</v>
      </c>
      <c r="H455" s="150" t="s">
        <v>166</v>
      </c>
      <c r="I455" s="150" t="str">
        <f>Table1[[#This Row],[Wing]]&amp;-Table1[[#This Row],[Shop No / Office No. / Flat No.]]</f>
        <v>B-1802</v>
      </c>
      <c r="J455" s="175">
        <v>62.04</v>
      </c>
      <c r="K455" s="151">
        <f t="shared" si="13"/>
        <v>667.79855999999995</v>
      </c>
      <c r="L455" s="152">
        <f>Table1[[#This Row],[RERA Carpet Area (Sq. Ft.)]]*1.1</f>
        <v>734.57841600000006</v>
      </c>
      <c r="M455" s="153" t="s">
        <v>168</v>
      </c>
      <c r="N455" s="152" t="s">
        <v>168</v>
      </c>
      <c r="O455" s="152">
        <v>11780000</v>
      </c>
      <c r="P455" s="174">
        <v>6842656</v>
      </c>
      <c r="Q455" s="154">
        <f>Table1[[#This Row],[Agreement Value as per  Excel]]-Table1[[#This Row],[Amt Received as per Excel]]</f>
        <v>4937344</v>
      </c>
      <c r="R455" s="155">
        <f t="shared" si="14"/>
        <v>17640.050017478326</v>
      </c>
      <c r="S455" s="160"/>
      <c r="T455" s="161"/>
      <c r="U455" s="157"/>
    </row>
    <row r="456" spans="2:21" x14ac:dyDescent="0.3">
      <c r="B456" s="148">
        <v>439</v>
      </c>
      <c r="C456" s="148" t="s">
        <v>35</v>
      </c>
      <c r="D456" s="149" t="s">
        <v>230</v>
      </c>
      <c r="E456" s="150">
        <v>1803</v>
      </c>
      <c r="F456" s="150" t="s">
        <v>172</v>
      </c>
      <c r="G456" s="150" t="s">
        <v>169</v>
      </c>
      <c r="H456" s="150" t="s">
        <v>166</v>
      </c>
      <c r="I456" s="150" t="str">
        <f>Table1[[#This Row],[Wing]]&amp;-Table1[[#This Row],[Shop No / Office No. / Flat No.]]</f>
        <v>B-1803</v>
      </c>
      <c r="J456" s="173">
        <v>62.04</v>
      </c>
      <c r="K456" s="151">
        <f t="shared" si="13"/>
        <v>667.79855999999995</v>
      </c>
      <c r="L456" s="152">
        <f>Table1[[#This Row],[RERA Carpet Area (Sq. Ft.)]]*1.1</f>
        <v>734.57841600000006</v>
      </c>
      <c r="M456" s="153" t="s">
        <v>211</v>
      </c>
      <c r="N456" s="152" t="s">
        <v>265</v>
      </c>
      <c r="O456" s="267">
        <f>1411650+2010850</f>
        <v>3422500</v>
      </c>
      <c r="P456" s="270">
        <v>2999005</v>
      </c>
      <c r="Q456" s="154">
        <f>Table1[[#This Row],[Agreement Value as per  Excel]]-Table1[[#This Row],[Amt Received as per Excel]]</f>
        <v>423495</v>
      </c>
      <c r="R456" s="155">
        <f t="shared" si="14"/>
        <v>5125.0484876756855</v>
      </c>
      <c r="S456" s="160"/>
      <c r="T456" s="161"/>
      <c r="U456" s="157"/>
    </row>
    <row r="457" spans="2:21" x14ac:dyDescent="0.3">
      <c r="B457" s="148">
        <v>440</v>
      </c>
      <c r="C457" s="148" t="s">
        <v>35</v>
      </c>
      <c r="D457" s="149" t="s">
        <v>230</v>
      </c>
      <c r="E457" s="150">
        <v>1804</v>
      </c>
      <c r="F457" s="150" t="s">
        <v>173</v>
      </c>
      <c r="G457" s="150" t="s">
        <v>169</v>
      </c>
      <c r="H457" s="150" t="s">
        <v>170</v>
      </c>
      <c r="I457" s="150" t="str">
        <f>Table1[[#This Row],[Wing]]&amp;-Table1[[#This Row],[Shop No / Office No. / Flat No.]]</f>
        <v>B-1804</v>
      </c>
      <c r="J457" s="173">
        <v>33.159999999999997</v>
      </c>
      <c r="K457" s="151">
        <f t="shared" si="13"/>
        <v>356.93423999999993</v>
      </c>
      <c r="L457" s="152">
        <f>Table1[[#This Row],[RERA Carpet Area (Sq. Ft.)]]*1.1</f>
        <v>392.62766399999998</v>
      </c>
      <c r="M457" s="153" t="s">
        <v>211</v>
      </c>
      <c r="N457" s="152" t="s">
        <v>266</v>
      </c>
      <c r="O457" s="152"/>
      <c r="P457" s="174"/>
      <c r="Q457" s="154">
        <f>Table1[[#This Row],[Agreement Value as per  Excel]]-Table1[[#This Row],[Amt Received as per Excel]]</f>
        <v>0</v>
      </c>
      <c r="R457" s="155">
        <f t="shared" si="14"/>
        <v>0</v>
      </c>
      <c r="S457" s="160"/>
      <c r="T457" s="161"/>
      <c r="U457" s="157"/>
    </row>
    <row r="458" spans="2:21" hidden="1" x14ac:dyDescent="0.3">
      <c r="B458" s="148">
        <v>441</v>
      </c>
      <c r="C458" s="148" t="s">
        <v>35</v>
      </c>
      <c r="D458" s="149" t="s">
        <v>230</v>
      </c>
      <c r="E458" s="150">
        <v>1805</v>
      </c>
      <c r="F458" s="150" t="s">
        <v>172</v>
      </c>
      <c r="G458" s="150" t="s">
        <v>169</v>
      </c>
      <c r="H458" s="150" t="s">
        <v>166</v>
      </c>
      <c r="I458" s="150" t="str">
        <f>Table1[[#This Row],[Wing]]&amp;-Table1[[#This Row],[Shop No / Office No. / Flat No.]]</f>
        <v>B-1805</v>
      </c>
      <c r="J458" s="173">
        <v>66.23</v>
      </c>
      <c r="K458" s="151">
        <f t="shared" si="13"/>
        <v>712.89972</v>
      </c>
      <c r="L458" s="152">
        <f>Table1[[#This Row],[RERA Carpet Area (Sq. Ft.)]]*1.1</f>
        <v>784.18969200000004</v>
      </c>
      <c r="M458" s="153" t="s">
        <v>167</v>
      </c>
      <c r="N458" s="152" t="s">
        <v>261</v>
      </c>
      <c r="O458" s="152"/>
      <c r="P458" s="174"/>
      <c r="Q458" s="154">
        <f>Table1[[#This Row],[Agreement Value as per  Excel]]-Table1[[#This Row],[Amt Received as per Excel]]</f>
        <v>0</v>
      </c>
      <c r="R458" s="155">
        <f t="shared" si="14"/>
        <v>0</v>
      </c>
      <c r="S458" s="160"/>
      <c r="T458" s="161"/>
      <c r="U458" s="157"/>
    </row>
    <row r="459" spans="2:21" hidden="1" x14ac:dyDescent="0.3">
      <c r="B459" s="148">
        <v>442</v>
      </c>
      <c r="C459" s="148" t="s">
        <v>35</v>
      </c>
      <c r="D459" s="149" t="s">
        <v>230</v>
      </c>
      <c r="E459" s="150">
        <v>1806</v>
      </c>
      <c r="F459" s="150" t="s">
        <v>172</v>
      </c>
      <c r="G459" s="150" t="s">
        <v>169</v>
      </c>
      <c r="H459" s="150" t="s">
        <v>166</v>
      </c>
      <c r="I459" s="150" t="str">
        <f>Table1[[#This Row],[Wing]]&amp;-Table1[[#This Row],[Shop No / Office No. / Flat No.]]</f>
        <v>B-1806</v>
      </c>
      <c r="J459" s="173">
        <v>66.23</v>
      </c>
      <c r="K459" s="151">
        <f t="shared" si="13"/>
        <v>712.89972</v>
      </c>
      <c r="L459" s="152">
        <f>Table1[[#This Row],[RERA Carpet Area (Sq. Ft.)]]*1.1</f>
        <v>784.18969200000004</v>
      </c>
      <c r="M459" s="153" t="s">
        <v>167</v>
      </c>
      <c r="N459" s="152" t="s">
        <v>261</v>
      </c>
      <c r="O459" s="152"/>
      <c r="P459" s="174"/>
      <c r="Q459" s="154">
        <f>Table1[[#This Row],[Agreement Value as per  Excel]]-Table1[[#This Row],[Amt Received as per Excel]]</f>
        <v>0</v>
      </c>
      <c r="R459" s="155">
        <f t="shared" si="14"/>
        <v>0</v>
      </c>
      <c r="S459" s="160"/>
      <c r="T459" s="161"/>
      <c r="U459" s="157"/>
    </row>
    <row r="460" spans="2:21" hidden="1" x14ac:dyDescent="0.3">
      <c r="B460" s="148">
        <v>443</v>
      </c>
      <c r="C460" s="148" t="s">
        <v>35</v>
      </c>
      <c r="D460" s="149" t="s">
        <v>230</v>
      </c>
      <c r="E460" s="150">
        <v>1807</v>
      </c>
      <c r="F460" s="150" t="s">
        <v>174</v>
      </c>
      <c r="G460" s="150" t="s">
        <v>169</v>
      </c>
      <c r="H460" s="150" t="s">
        <v>166</v>
      </c>
      <c r="I460" s="150" t="str">
        <f>Table1[[#This Row],[Wing]]&amp;-Table1[[#This Row],[Shop No / Office No. / Flat No.]]</f>
        <v>B-1807</v>
      </c>
      <c r="J460" s="175">
        <v>88.58</v>
      </c>
      <c r="K460" s="151">
        <f t="shared" si="13"/>
        <v>953.47511999999995</v>
      </c>
      <c r="L460" s="152">
        <f>Table1[[#This Row],[RERA Carpet Area (Sq. Ft.)]]*1.1</f>
        <v>1048.8226320000001</v>
      </c>
      <c r="M460" s="153" t="s">
        <v>168</v>
      </c>
      <c r="N460" s="152" t="s">
        <v>168</v>
      </c>
      <c r="O460" s="152">
        <v>17667500</v>
      </c>
      <c r="P460" s="174">
        <v>10423885</v>
      </c>
      <c r="Q460" s="154">
        <f>Table1[[#This Row],[Agreement Value as per  Excel]]-Table1[[#This Row],[Amt Received as per Excel]]</f>
        <v>7243615</v>
      </c>
      <c r="R460" s="155">
        <f t="shared" si="14"/>
        <v>18529.586802432768</v>
      </c>
      <c r="S460" s="160"/>
      <c r="T460" s="161"/>
      <c r="U460" s="157"/>
    </row>
    <row r="461" spans="2:21" hidden="1" x14ac:dyDescent="0.3">
      <c r="B461" s="148">
        <v>444</v>
      </c>
      <c r="C461" s="148" t="s">
        <v>35</v>
      </c>
      <c r="D461" s="149" t="s">
        <v>230</v>
      </c>
      <c r="E461" s="150">
        <v>1808</v>
      </c>
      <c r="F461" s="150" t="s">
        <v>174</v>
      </c>
      <c r="G461" s="150" t="s">
        <v>169</v>
      </c>
      <c r="H461" s="150" t="s">
        <v>166</v>
      </c>
      <c r="I461" s="150" t="str">
        <f>Table1[[#This Row],[Wing]]&amp;-Table1[[#This Row],[Shop No / Office No. / Flat No.]]</f>
        <v>B-1808</v>
      </c>
      <c r="J461" s="175">
        <v>88.58</v>
      </c>
      <c r="K461" s="151">
        <f t="shared" si="13"/>
        <v>953.47511999999995</v>
      </c>
      <c r="L461" s="152">
        <f>Table1[[#This Row],[RERA Carpet Area (Sq. Ft.)]]*1.1</f>
        <v>1048.8226320000001</v>
      </c>
      <c r="M461" s="153" t="s">
        <v>168</v>
      </c>
      <c r="N461" s="152" t="s">
        <v>168</v>
      </c>
      <c r="O461" s="152">
        <v>17667500</v>
      </c>
      <c r="P461" s="174">
        <v>10423825</v>
      </c>
      <c r="Q461" s="154">
        <f>Table1[[#This Row],[Agreement Value as per  Excel]]-Table1[[#This Row],[Amt Received as per Excel]]</f>
        <v>7243675</v>
      </c>
      <c r="R461" s="155">
        <f t="shared" si="14"/>
        <v>18529.586802432768</v>
      </c>
      <c r="S461" s="160"/>
      <c r="T461" s="161"/>
      <c r="U461" s="157"/>
    </row>
    <row r="462" spans="2:21" hidden="1" x14ac:dyDescent="0.3">
      <c r="B462" s="148">
        <v>445</v>
      </c>
      <c r="C462" s="148" t="s">
        <v>35</v>
      </c>
      <c r="D462" s="149" t="s">
        <v>230</v>
      </c>
      <c r="E462" s="150">
        <v>1809</v>
      </c>
      <c r="F462" s="150" t="s">
        <v>172</v>
      </c>
      <c r="G462" s="150" t="s">
        <v>169</v>
      </c>
      <c r="H462" s="150" t="s">
        <v>166</v>
      </c>
      <c r="I462" s="150" t="str">
        <f>Table1[[#This Row],[Wing]]&amp;-Table1[[#This Row],[Shop No / Office No. / Flat No.]]</f>
        <v>B-1809</v>
      </c>
      <c r="J462" s="173">
        <v>65.16</v>
      </c>
      <c r="K462" s="151">
        <f t="shared" si="13"/>
        <v>701.38223999999991</v>
      </c>
      <c r="L462" s="152">
        <f>Table1[[#This Row],[RERA Carpet Area (Sq. Ft.)]]*1.1</f>
        <v>771.52046399999995</v>
      </c>
      <c r="M462" s="153" t="s">
        <v>167</v>
      </c>
      <c r="N462" s="152" t="s">
        <v>168</v>
      </c>
      <c r="O462" s="152">
        <v>14605000</v>
      </c>
      <c r="P462" s="174">
        <v>1168400</v>
      </c>
      <c r="Q462" s="154">
        <f>Table1[[#This Row],[Agreement Value as per  Excel]]-Table1[[#This Row],[Amt Received as per Excel]]</f>
        <v>13436600</v>
      </c>
      <c r="R462" s="155">
        <f t="shared" si="14"/>
        <v>20823.16769241263</v>
      </c>
      <c r="S462" s="160"/>
      <c r="T462" s="161"/>
      <c r="U462" s="157"/>
    </row>
    <row r="463" spans="2:21" hidden="1" x14ac:dyDescent="0.3">
      <c r="B463" s="148">
        <v>446</v>
      </c>
      <c r="C463" s="148" t="s">
        <v>35</v>
      </c>
      <c r="D463" s="149" t="s">
        <v>230</v>
      </c>
      <c r="E463" s="150">
        <v>1810</v>
      </c>
      <c r="F463" s="150" t="s">
        <v>172</v>
      </c>
      <c r="G463" s="150" t="s">
        <v>169</v>
      </c>
      <c r="H463" s="150" t="s">
        <v>166</v>
      </c>
      <c r="I463" s="150" t="str">
        <f>Table1[[#This Row],[Wing]]&amp;-Table1[[#This Row],[Shop No / Office No. / Flat No.]]</f>
        <v>B-1810</v>
      </c>
      <c r="J463" s="175">
        <v>65.16</v>
      </c>
      <c r="K463" s="151">
        <f t="shared" si="13"/>
        <v>701.38223999999991</v>
      </c>
      <c r="L463" s="152">
        <f>Table1[[#This Row],[RERA Carpet Area (Sq. Ft.)]]*1.1</f>
        <v>771.52046399999995</v>
      </c>
      <c r="M463" s="153" t="s">
        <v>168</v>
      </c>
      <c r="N463" s="152" t="s">
        <v>168</v>
      </c>
      <c r="O463" s="152">
        <v>16215000</v>
      </c>
      <c r="P463" s="174">
        <v>2747399</v>
      </c>
      <c r="Q463" s="154">
        <f>Table1[[#This Row],[Agreement Value as per  Excel]]-Table1[[#This Row],[Amt Received as per Excel]]</f>
        <v>13467601</v>
      </c>
      <c r="R463" s="155">
        <f t="shared" si="14"/>
        <v>23118.63499708804</v>
      </c>
      <c r="S463" s="160"/>
      <c r="T463" s="161"/>
      <c r="U463" s="157"/>
    </row>
    <row r="464" spans="2:21" hidden="1" x14ac:dyDescent="0.3">
      <c r="B464" s="148">
        <v>447</v>
      </c>
      <c r="C464" s="148" t="s">
        <v>35</v>
      </c>
      <c r="D464" s="149" t="s">
        <v>231</v>
      </c>
      <c r="E464" s="150">
        <v>1901</v>
      </c>
      <c r="F464" s="150" t="s">
        <v>173</v>
      </c>
      <c r="G464" s="150" t="s">
        <v>169</v>
      </c>
      <c r="H464" s="150" t="s">
        <v>170</v>
      </c>
      <c r="I464" s="150" t="str">
        <f>Table1[[#This Row],[Wing]]&amp;-Table1[[#This Row],[Shop No / Office No. / Flat No.]]</f>
        <v>B-1901</v>
      </c>
      <c r="J464" s="173">
        <v>33.159999999999997</v>
      </c>
      <c r="K464" s="151">
        <f t="shared" si="13"/>
        <v>356.93423999999993</v>
      </c>
      <c r="L464" s="152">
        <f>Table1[[#This Row],[RERA Carpet Area (Sq. Ft.)]]*1.1</f>
        <v>392.62766399999998</v>
      </c>
      <c r="M464" s="153" t="s">
        <v>167</v>
      </c>
      <c r="N464" s="152" t="s">
        <v>261</v>
      </c>
      <c r="O464" s="152"/>
      <c r="P464" s="174"/>
      <c r="Q464" s="154">
        <f>Table1[[#This Row],[Agreement Value as per  Excel]]-Table1[[#This Row],[Amt Received as per Excel]]</f>
        <v>0</v>
      </c>
      <c r="R464" s="155">
        <f t="shared" si="14"/>
        <v>0</v>
      </c>
      <c r="S464" s="160"/>
      <c r="T464" s="161"/>
      <c r="U464" s="157"/>
    </row>
    <row r="465" spans="2:21" hidden="1" x14ac:dyDescent="0.3">
      <c r="B465" s="148">
        <v>448</v>
      </c>
      <c r="C465" s="148" t="s">
        <v>35</v>
      </c>
      <c r="D465" s="149" t="s">
        <v>231</v>
      </c>
      <c r="E465" s="150">
        <v>1902</v>
      </c>
      <c r="F465" s="150" t="s">
        <v>172</v>
      </c>
      <c r="G465" s="150" t="s">
        <v>169</v>
      </c>
      <c r="H465" s="150" t="s">
        <v>166</v>
      </c>
      <c r="I465" s="150" t="str">
        <f>Table1[[#This Row],[Wing]]&amp;-Table1[[#This Row],[Shop No / Office No. / Flat No.]]</f>
        <v>B-1902</v>
      </c>
      <c r="J465" s="175">
        <v>62.04</v>
      </c>
      <c r="K465" s="151">
        <f t="shared" si="13"/>
        <v>667.79855999999995</v>
      </c>
      <c r="L465" s="152">
        <f>Table1[[#This Row],[RERA Carpet Area (Sq. Ft.)]]*1.1</f>
        <v>734.57841600000006</v>
      </c>
      <c r="M465" s="153" t="s">
        <v>168</v>
      </c>
      <c r="N465" s="152" t="s">
        <v>168</v>
      </c>
      <c r="O465" s="152">
        <v>10200000</v>
      </c>
      <c r="P465" s="174">
        <v>6092000</v>
      </c>
      <c r="Q465" s="154">
        <f>Table1[[#This Row],[Agreement Value as per  Excel]]-Table1[[#This Row],[Amt Received as per Excel]]</f>
        <v>4108000</v>
      </c>
      <c r="R465" s="155">
        <f t="shared" si="14"/>
        <v>15274.06707795237</v>
      </c>
      <c r="S465" s="160"/>
      <c r="T465" s="161"/>
      <c r="U465" s="157"/>
    </row>
    <row r="466" spans="2:21" hidden="1" x14ac:dyDescent="0.3">
      <c r="B466" s="148">
        <v>449</v>
      </c>
      <c r="C466" s="148" t="s">
        <v>35</v>
      </c>
      <c r="D466" s="149" t="s">
        <v>231</v>
      </c>
      <c r="E466" s="150">
        <v>1903</v>
      </c>
      <c r="F466" s="150" t="s">
        <v>172</v>
      </c>
      <c r="G466" s="150" t="s">
        <v>169</v>
      </c>
      <c r="H466" s="150" t="s">
        <v>166</v>
      </c>
      <c r="I466" s="150" t="str">
        <f>Table1[[#This Row],[Wing]]&amp;-Table1[[#This Row],[Shop No / Office No. / Flat No.]]</f>
        <v>B-1903</v>
      </c>
      <c r="J466" s="175">
        <v>62.04</v>
      </c>
      <c r="K466" s="151">
        <f t="shared" si="13"/>
        <v>667.79855999999995</v>
      </c>
      <c r="L466" s="152">
        <f>Table1[[#This Row],[RERA Carpet Area (Sq. Ft.)]]*1.1</f>
        <v>734.57841600000006</v>
      </c>
      <c r="M466" s="153" t="s">
        <v>168</v>
      </c>
      <c r="N466" s="152" t="s">
        <v>168</v>
      </c>
      <c r="O466" s="152">
        <v>12198571</v>
      </c>
      <c r="P466" s="174">
        <v>9309524</v>
      </c>
      <c r="Q466" s="154">
        <f>Table1[[#This Row],[Agreement Value as per  Excel]]-Table1[[#This Row],[Amt Received as per Excel]]</f>
        <v>2889047</v>
      </c>
      <c r="R466" s="155">
        <f t="shared" si="14"/>
        <v>18266.842324427893</v>
      </c>
      <c r="S466" s="160"/>
      <c r="T466" s="161"/>
      <c r="U466" s="157"/>
    </row>
    <row r="467" spans="2:21" x14ac:dyDescent="0.3">
      <c r="B467" s="148">
        <v>450</v>
      </c>
      <c r="C467" s="148" t="s">
        <v>35</v>
      </c>
      <c r="D467" s="149" t="s">
        <v>231</v>
      </c>
      <c r="E467" s="150">
        <v>1904</v>
      </c>
      <c r="F467" s="150" t="s">
        <v>173</v>
      </c>
      <c r="G467" s="150" t="s">
        <v>169</v>
      </c>
      <c r="H467" s="150" t="s">
        <v>170</v>
      </c>
      <c r="I467" s="150" t="str">
        <f>Table1[[#This Row],[Wing]]&amp;-Table1[[#This Row],[Shop No / Office No. / Flat No.]]</f>
        <v>B-1904</v>
      </c>
      <c r="J467" s="173">
        <v>33.159999999999997</v>
      </c>
      <c r="K467" s="151">
        <f t="shared" si="13"/>
        <v>356.93423999999993</v>
      </c>
      <c r="L467" s="152">
        <f>Table1[[#This Row],[RERA Carpet Area (Sq. Ft.)]]*1.1</f>
        <v>392.62766399999998</v>
      </c>
      <c r="M467" s="153" t="s">
        <v>211</v>
      </c>
      <c r="N467" s="152" t="s">
        <v>266</v>
      </c>
      <c r="O467" s="152"/>
      <c r="P467" s="174"/>
      <c r="Q467" s="154">
        <f>Table1[[#This Row],[Agreement Value as per  Excel]]-Table1[[#This Row],[Amt Received as per Excel]]</f>
        <v>0</v>
      </c>
      <c r="R467" s="155">
        <f t="shared" si="14"/>
        <v>0</v>
      </c>
      <c r="S467" s="160"/>
      <c r="T467" s="161"/>
      <c r="U467" s="157"/>
    </row>
    <row r="468" spans="2:21" hidden="1" x14ac:dyDescent="0.3">
      <c r="B468" s="148">
        <v>451</v>
      </c>
      <c r="C468" s="148" t="s">
        <v>35</v>
      </c>
      <c r="D468" s="149" t="s">
        <v>231</v>
      </c>
      <c r="E468" s="150">
        <v>1905</v>
      </c>
      <c r="F468" s="150" t="s">
        <v>172</v>
      </c>
      <c r="G468" s="150" t="s">
        <v>169</v>
      </c>
      <c r="H468" s="150" t="s">
        <v>166</v>
      </c>
      <c r="I468" s="150" t="str">
        <f>Table1[[#This Row],[Wing]]&amp;-Table1[[#This Row],[Shop No / Office No. / Flat No.]]</f>
        <v>B-1905</v>
      </c>
      <c r="J468" s="173">
        <v>66.23</v>
      </c>
      <c r="K468" s="151">
        <f t="shared" si="13"/>
        <v>712.89972</v>
      </c>
      <c r="L468" s="152">
        <f>Table1[[#This Row],[RERA Carpet Area (Sq. Ft.)]]*1.1</f>
        <v>784.18969200000004</v>
      </c>
      <c r="M468" s="153" t="s">
        <v>167</v>
      </c>
      <c r="N468" s="152" t="s">
        <v>168</v>
      </c>
      <c r="O468" s="152">
        <v>15404250</v>
      </c>
      <c r="P468" s="174">
        <v>700000</v>
      </c>
      <c r="Q468" s="154">
        <f>Table1[[#This Row],[Agreement Value as per  Excel]]-Table1[[#This Row],[Amt Received as per Excel]]</f>
        <v>14704250</v>
      </c>
      <c r="R468" s="155">
        <f t="shared" si="14"/>
        <v>21607.877753129149</v>
      </c>
      <c r="S468" s="160"/>
      <c r="T468" s="161"/>
      <c r="U468" s="157"/>
    </row>
    <row r="469" spans="2:21" hidden="1" x14ac:dyDescent="0.3">
      <c r="B469" s="148">
        <v>452</v>
      </c>
      <c r="C469" s="148" t="s">
        <v>35</v>
      </c>
      <c r="D469" s="149" t="s">
        <v>231</v>
      </c>
      <c r="E469" s="150">
        <v>1906</v>
      </c>
      <c r="F469" s="150" t="s">
        <v>172</v>
      </c>
      <c r="G469" s="150" t="s">
        <v>169</v>
      </c>
      <c r="H469" s="150" t="s">
        <v>166</v>
      </c>
      <c r="I469" s="150" t="str">
        <f>Table1[[#This Row],[Wing]]&amp;-Table1[[#This Row],[Shop No / Office No. / Flat No.]]</f>
        <v>B-1906</v>
      </c>
      <c r="J469" s="175">
        <v>66.23</v>
      </c>
      <c r="K469" s="151">
        <f t="shared" si="13"/>
        <v>712.89972</v>
      </c>
      <c r="L469" s="152">
        <f>Table1[[#This Row],[RERA Carpet Area (Sq. Ft.)]]*1.1</f>
        <v>784.18969200000004</v>
      </c>
      <c r="M469" s="153" t="s">
        <v>168</v>
      </c>
      <c r="N469" s="152" t="s">
        <v>168</v>
      </c>
      <c r="O469" s="152">
        <v>10575000</v>
      </c>
      <c r="P469" s="174">
        <v>3434500</v>
      </c>
      <c r="Q469" s="154">
        <f>Table1[[#This Row],[Agreement Value as per  Excel]]-Table1[[#This Row],[Amt Received as per Excel]]</f>
        <v>7140500</v>
      </c>
      <c r="R469" s="155">
        <f t="shared" si="14"/>
        <v>14833.783354550904</v>
      </c>
      <c r="S469" s="160"/>
      <c r="T469" s="161"/>
      <c r="U469" s="157"/>
    </row>
    <row r="470" spans="2:21" hidden="1" x14ac:dyDescent="0.3">
      <c r="B470" s="148">
        <v>453</v>
      </c>
      <c r="C470" s="148" t="s">
        <v>35</v>
      </c>
      <c r="D470" s="149" t="s">
        <v>231</v>
      </c>
      <c r="E470" s="150">
        <v>1907</v>
      </c>
      <c r="F470" s="150" t="s">
        <v>174</v>
      </c>
      <c r="G470" s="150" t="s">
        <v>169</v>
      </c>
      <c r="H470" s="150" t="s">
        <v>166</v>
      </c>
      <c r="I470" s="150" t="str">
        <f>Table1[[#This Row],[Wing]]&amp;-Table1[[#This Row],[Shop No / Office No. / Flat No.]]</f>
        <v>B-1907</v>
      </c>
      <c r="J470" s="173">
        <v>88.58</v>
      </c>
      <c r="K470" s="151">
        <f t="shared" si="13"/>
        <v>953.47511999999995</v>
      </c>
      <c r="L470" s="152">
        <f>Table1[[#This Row],[RERA Carpet Area (Sq. Ft.)]]*1.1</f>
        <v>1048.8226320000001</v>
      </c>
      <c r="M470" s="153" t="s">
        <v>167</v>
      </c>
      <c r="N470" s="152" t="s">
        <v>168</v>
      </c>
      <c r="O470" s="152">
        <v>13377000</v>
      </c>
      <c r="P470" s="174">
        <v>936250</v>
      </c>
      <c r="Q470" s="154">
        <f>Table1[[#This Row],[Agreement Value as per  Excel]]-Table1[[#This Row],[Amt Received as per Excel]]</f>
        <v>12440750</v>
      </c>
      <c r="R470" s="155">
        <f t="shared" si="14"/>
        <v>14029.731578103476</v>
      </c>
      <c r="S470" s="160"/>
      <c r="T470" s="161"/>
      <c r="U470" s="157"/>
    </row>
    <row r="471" spans="2:21" hidden="1" x14ac:dyDescent="0.3">
      <c r="B471" s="148">
        <v>454</v>
      </c>
      <c r="C471" s="148" t="s">
        <v>35</v>
      </c>
      <c r="D471" s="149" t="s">
        <v>231</v>
      </c>
      <c r="E471" s="150">
        <v>1908</v>
      </c>
      <c r="F471" s="150" t="s">
        <v>174</v>
      </c>
      <c r="G471" s="150" t="s">
        <v>169</v>
      </c>
      <c r="H471" s="150" t="s">
        <v>166</v>
      </c>
      <c r="I471" s="150" t="str">
        <f>Table1[[#This Row],[Wing]]&amp;-Table1[[#This Row],[Shop No / Office No. / Flat No.]]</f>
        <v>B-1908</v>
      </c>
      <c r="J471" s="175">
        <v>88.58</v>
      </c>
      <c r="K471" s="151">
        <f t="shared" si="13"/>
        <v>953.47511999999995</v>
      </c>
      <c r="L471" s="152">
        <f>Table1[[#This Row],[RERA Carpet Area (Sq. Ft.)]]*1.1</f>
        <v>1048.8226320000001</v>
      </c>
      <c r="M471" s="153" t="s">
        <v>168</v>
      </c>
      <c r="N471" s="152" t="s">
        <v>168</v>
      </c>
      <c r="O471" s="152">
        <v>14120000</v>
      </c>
      <c r="P471" s="174">
        <v>8235200</v>
      </c>
      <c r="Q471" s="154">
        <f>Table1[[#This Row],[Agreement Value as per  Excel]]-Table1[[#This Row],[Amt Received as per Excel]]</f>
        <v>5884800</v>
      </c>
      <c r="R471" s="155">
        <f t="shared" si="14"/>
        <v>14808.986311042916</v>
      </c>
      <c r="S471" s="160"/>
      <c r="T471" s="161"/>
      <c r="U471" s="157"/>
    </row>
    <row r="472" spans="2:21" hidden="1" x14ac:dyDescent="0.3">
      <c r="B472" s="148">
        <v>455</v>
      </c>
      <c r="C472" s="148" t="s">
        <v>35</v>
      </c>
      <c r="D472" s="149" t="s">
        <v>231</v>
      </c>
      <c r="E472" s="150">
        <v>1909</v>
      </c>
      <c r="F472" s="150" t="s">
        <v>172</v>
      </c>
      <c r="G472" s="150" t="s">
        <v>169</v>
      </c>
      <c r="H472" s="150" t="s">
        <v>166</v>
      </c>
      <c r="I472" s="150" t="str">
        <f>Table1[[#This Row],[Wing]]&amp;-Table1[[#This Row],[Shop No / Office No. / Flat No.]]</f>
        <v>B-1909</v>
      </c>
      <c r="J472" s="175">
        <v>65.16</v>
      </c>
      <c r="K472" s="151">
        <f t="shared" si="13"/>
        <v>701.38223999999991</v>
      </c>
      <c r="L472" s="152">
        <f>Table1[[#This Row],[RERA Carpet Area (Sq. Ft.)]]*1.1</f>
        <v>771.52046399999995</v>
      </c>
      <c r="M472" s="153" t="s">
        <v>168</v>
      </c>
      <c r="N472" s="152" t="s">
        <v>168</v>
      </c>
      <c r="O472" s="152">
        <v>10927500</v>
      </c>
      <c r="P472" s="174">
        <v>100000</v>
      </c>
      <c r="Q472" s="154">
        <f>Table1[[#This Row],[Agreement Value as per  Excel]]-Table1[[#This Row],[Amt Received as per Excel]]</f>
        <v>10827500</v>
      </c>
      <c r="R472" s="155">
        <f t="shared" si="14"/>
        <v>15579.949671950635</v>
      </c>
      <c r="S472" s="160"/>
      <c r="T472" s="161"/>
      <c r="U472" s="157"/>
    </row>
    <row r="473" spans="2:21" hidden="1" x14ac:dyDescent="0.3">
      <c r="B473" s="148">
        <v>456</v>
      </c>
      <c r="C473" s="148" t="s">
        <v>35</v>
      </c>
      <c r="D473" s="149" t="s">
        <v>231</v>
      </c>
      <c r="E473" s="150">
        <v>1910</v>
      </c>
      <c r="F473" s="150" t="s">
        <v>172</v>
      </c>
      <c r="G473" s="150" t="s">
        <v>169</v>
      </c>
      <c r="H473" s="150" t="s">
        <v>166</v>
      </c>
      <c r="I473" s="150" t="str">
        <f>Table1[[#This Row],[Wing]]&amp;-Table1[[#This Row],[Shop No / Office No. / Flat No.]]</f>
        <v>B-1910</v>
      </c>
      <c r="J473" s="175">
        <v>65.16</v>
      </c>
      <c r="K473" s="151">
        <f t="shared" si="13"/>
        <v>701.38223999999991</v>
      </c>
      <c r="L473" s="152">
        <f>Table1[[#This Row],[RERA Carpet Area (Sq. Ft.)]]*1.1</f>
        <v>771.52046399999995</v>
      </c>
      <c r="M473" s="153" t="s">
        <v>168</v>
      </c>
      <c r="N473" s="152" t="s">
        <v>168</v>
      </c>
      <c r="O473" s="152">
        <v>10927500</v>
      </c>
      <c r="P473" s="174">
        <v>100000</v>
      </c>
      <c r="Q473" s="154">
        <f>Table1[[#This Row],[Agreement Value as per  Excel]]-Table1[[#This Row],[Amt Received as per Excel]]</f>
        <v>10827500</v>
      </c>
      <c r="R473" s="155">
        <f t="shared" si="14"/>
        <v>15579.949671950635</v>
      </c>
      <c r="S473" s="160"/>
      <c r="T473" s="161"/>
      <c r="U473" s="157"/>
    </row>
    <row r="474" spans="2:21" hidden="1" x14ac:dyDescent="0.3">
      <c r="B474" s="148">
        <v>457</v>
      </c>
      <c r="C474" s="148" t="s">
        <v>35</v>
      </c>
      <c r="D474" s="149" t="s">
        <v>232</v>
      </c>
      <c r="E474" s="150">
        <v>2001</v>
      </c>
      <c r="F474" s="150" t="s">
        <v>53</v>
      </c>
      <c r="G474" s="150" t="s">
        <v>169</v>
      </c>
      <c r="H474" s="150" t="s">
        <v>170</v>
      </c>
      <c r="I474" s="150" t="str">
        <f>Table1[[#This Row],[Wing]]&amp;-Table1[[#This Row],[Shop No / Office No. / Flat No.]]</f>
        <v>B-2001</v>
      </c>
      <c r="J474" s="173">
        <v>0</v>
      </c>
      <c r="K474" s="151">
        <f t="shared" si="13"/>
        <v>0</v>
      </c>
      <c r="L474" s="152">
        <f>Table1[[#This Row],[RERA Carpet Area (Sq. Ft.)]]*1.1</f>
        <v>0</v>
      </c>
      <c r="M474" s="153" t="s">
        <v>53</v>
      </c>
      <c r="N474" s="152" t="s">
        <v>53</v>
      </c>
      <c r="O474" s="152"/>
      <c r="P474" s="174"/>
      <c r="Q474" s="154">
        <f>Table1[[#This Row],[Agreement Value as per  Excel]]-Table1[[#This Row],[Amt Received as per Excel]]</f>
        <v>0</v>
      </c>
      <c r="R474" s="155">
        <f t="shared" si="14"/>
        <v>0</v>
      </c>
      <c r="S474" s="160"/>
      <c r="T474" s="161"/>
      <c r="U474" s="157"/>
    </row>
    <row r="475" spans="2:21" hidden="1" x14ac:dyDescent="0.3">
      <c r="B475" s="148">
        <v>458</v>
      </c>
      <c r="C475" s="148" t="s">
        <v>35</v>
      </c>
      <c r="D475" s="149" t="s">
        <v>232</v>
      </c>
      <c r="E475" s="150">
        <v>2002</v>
      </c>
      <c r="F475" s="150" t="s">
        <v>53</v>
      </c>
      <c r="G475" s="150" t="s">
        <v>169</v>
      </c>
      <c r="H475" s="150" t="s">
        <v>166</v>
      </c>
      <c r="I475" s="150" t="str">
        <f>Table1[[#This Row],[Wing]]&amp;-Table1[[#This Row],[Shop No / Office No. / Flat No.]]</f>
        <v>B-2002</v>
      </c>
      <c r="J475" s="173">
        <v>0</v>
      </c>
      <c r="K475" s="151">
        <f t="shared" si="13"/>
        <v>0</v>
      </c>
      <c r="L475" s="152">
        <f>Table1[[#This Row],[RERA Carpet Area (Sq. Ft.)]]*1.1</f>
        <v>0</v>
      </c>
      <c r="M475" s="153" t="s">
        <v>53</v>
      </c>
      <c r="N475" s="152" t="s">
        <v>53</v>
      </c>
      <c r="O475" s="152"/>
      <c r="P475" s="174"/>
      <c r="Q475" s="154">
        <f>Table1[[#This Row],[Agreement Value as per  Excel]]-Table1[[#This Row],[Amt Received as per Excel]]</f>
        <v>0</v>
      </c>
      <c r="R475" s="155">
        <f t="shared" si="14"/>
        <v>0</v>
      </c>
      <c r="S475" s="160"/>
      <c r="T475" s="161"/>
      <c r="U475" s="157"/>
    </row>
    <row r="476" spans="2:21" hidden="1" x14ac:dyDescent="0.3">
      <c r="B476" s="148">
        <v>459</v>
      </c>
      <c r="C476" s="148" t="s">
        <v>35</v>
      </c>
      <c r="D476" s="149" t="s">
        <v>232</v>
      </c>
      <c r="E476" s="150">
        <v>2003</v>
      </c>
      <c r="F476" s="150" t="s">
        <v>53</v>
      </c>
      <c r="G476" s="150" t="s">
        <v>169</v>
      </c>
      <c r="H476" s="150" t="s">
        <v>166</v>
      </c>
      <c r="I476" s="150" t="str">
        <f>Table1[[#This Row],[Wing]]&amp;-Table1[[#This Row],[Shop No / Office No. / Flat No.]]</f>
        <v>B-2003</v>
      </c>
      <c r="J476" s="173">
        <v>0</v>
      </c>
      <c r="K476" s="151">
        <f t="shared" si="13"/>
        <v>0</v>
      </c>
      <c r="L476" s="152">
        <f>Table1[[#This Row],[RERA Carpet Area (Sq. Ft.)]]*1.1</f>
        <v>0</v>
      </c>
      <c r="M476" s="153" t="s">
        <v>53</v>
      </c>
      <c r="N476" s="152" t="s">
        <v>53</v>
      </c>
      <c r="O476" s="152"/>
      <c r="P476" s="174"/>
      <c r="Q476" s="154">
        <f>Table1[[#This Row],[Agreement Value as per  Excel]]-Table1[[#This Row],[Amt Received as per Excel]]</f>
        <v>0</v>
      </c>
      <c r="R476" s="155">
        <f t="shared" si="14"/>
        <v>0</v>
      </c>
      <c r="S476" s="160"/>
      <c r="T476" s="161"/>
      <c r="U476" s="157"/>
    </row>
    <row r="477" spans="2:21" hidden="1" x14ac:dyDescent="0.3">
      <c r="B477" s="148">
        <v>460</v>
      </c>
      <c r="C477" s="148" t="s">
        <v>35</v>
      </c>
      <c r="D477" s="149" t="s">
        <v>232</v>
      </c>
      <c r="E477" s="150">
        <v>2004</v>
      </c>
      <c r="F477" s="150" t="s">
        <v>53</v>
      </c>
      <c r="G477" s="150" t="s">
        <v>169</v>
      </c>
      <c r="H477" s="150" t="s">
        <v>170</v>
      </c>
      <c r="I477" s="150" t="str">
        <f>Table1[[#This Row],[Wing]]&amp;-Table1[[#This Row],[Shop No / Office No. / Flat No.]]</f>
        <v>B-2004</v>
      </c>
      <c r="J477" s="173">
        <v>0</v>
      </c>
      <c r="K477" s="151">
        <f t="shared" si="13"/>
        <v>0</v>
      </c>
      <c r="L477" s="152">
        <f>Table1[[#This Row],[RERA Carpet Area (Sq. Ft.)]]*1.1</f>
        <v>0</v>
      </c>
      <c r="M477" s="153" t="s">
        <v>53</v>
      </c>
      <c r="N477" s="152" t="s">
        <v>53</v>
      </c>
      <c r="O477" s="152"/>
      <c r="P477" s="174"/>
      <c r="Q477" s="154">
        <f>Table1[[#This Row],[Agreement Value as per  Excel]]-Table1[[#This Row],[Amt Received as per Excel]]</f>
        <v>0</v>
      </c>
      <c r="R477" s="155">
        <f t="shared" si="14"/>
        <v>0</v>
      </c>
      <c r="S477" s="160"/>
      <c r="T477" s="161"/>
      <c r="U477" s="157"/>
    </row>
    <row r="478" spans="2:21" hidden="1" x14ac:dyDescent="0.3">
      <c r="B478" s="167">
        <v>461</v>
      </c>
      <c r="C478" s="167" t="s">
        <v>35</v>
      </c>
      <c r="D478" s="169" t="s">
        <v>232</v>
      </c>
      <c r="E478" s="168">
        <v>2005</v>
      </c>
      <c r="F478" s="168" t="s">
        <v>251</v>
      </c>
      <c r="G478" s="168" t="s">
        <v>169</v>
      </c>
      <c r="H478" s="168" t="s">
        <v>166</v>
      </c>
      <c r="I478" s="168" t="str">
        <f>Table1[[#This Row],[Wing]]&amp;-Table1[[#This Row],[Shop No / Office No. / Flat No.]]</f>
        <v>B-2005</v>
      </c>
      <c r="J478" s="175">
        <v>66.23</v>
      </c>
      <c r="K478" s="159">
        <f t="shared" si="13"/>
        <v>712.89972</v>
      </c>
      <c r="L478" s="170">
        <f>Table1[[#This Row],[RERA Carpet Area (Sq. Ft.)]]*1.1</f>
        <v>784.18969200000004</v>
      </c>
      <c r="M478" s="171" t="s">
        <v>168</v>
      </c>
      <c r="N478" s="170" t="s">
        <v>168</v>
      </c>
      <c r="O478" s="170">
        <v>16300000</v>
      </c>
      <c r="P478" s="176">
        <v>5117000</v>
      </c>
      <c r="Q478" s="154">
        <f>Table1[[#This Row],[Agreement Value as per  Excel]]-Table1[[#This Row],[Amt Received as per Excel]]</f>
        <v>11183000</v>
      </c>
      <c r="R478" s="155">
        <f t="shared" si="14"/>
        <v>22864.365832546548</v>
      </c>
      <c r="S478" s="160"/>
      <c r="T478" s="161"/>
      <c r="U478" s="157"/>
    </row>
    <row r="479" spans="2:21" hidden="1" x14ac:dyDescent="0.3">
      <c r="B479" s="148">
        <v>462</v>
      </c>
      <c r="C479" s="148" t="s">
        <v>35</v>
      </c>
      <c r="D479" s="149" t="s">
        <v>232</v>
      </c>
      <c r="E479" s="150">
        <v>2006</v>
      </c>
      <c r="F479" s="150" t="s">
        <v>53</v>
      </c>
      <c r="G479" s="150" t="s">
        <v>169</v>
      </c>
      <c r="H479" s="150" t="s">
        <v>166</v>
      </c>
      <c r="I479" s="150" t="str">
        <f>Table1[[#This Row],[Wing]]&amp;-Table1[[#This Row],[Shop No / Office No. / Flat No.]]</f>
        <v>B-2006</v>
      </c>
      <c r="J479" s="173">
        <v>0</v>
      </c>
      <c r="K479" s="151">
        <f t="shared" si="13"/>
        <v>0</v>
      </c>
      <c r="L479" s="152">
        <f>Table1[[#This Row],[RERA Carpet Area (Sq. Ft.)]]*1.1</f>
        <v>0</v>
      </c>
      <c r="M479" s="153" t="s">
        <v>53</v>
      </c>
      <c r="N479" s="152" t="s">
        <v>53</v>
      </c>
      <c r="O479" s="152"/>
      <c r="P479" s="174"/>
      <c r="Q479" s="154">
        <f>Table1[[#This Row],[Agreement Value as per  Excel]]-Table1[[#This Row],[Amt Received as per Excel]]</f>
        <v>0</v>
      </c>
      <c r="R479" s="155">
        <f t="shared" si="14"/>
        <v>0</v>
      </c>
      <c r="S479" s="160"/>
      <c r="T479" s="161"/>
      <c r="U479" s="157"/>
    </row>
    <row r="480" spans="2:21" hidden="1" x14ac:dyDescent="0.3">
      <c r="B480" s="148">
        <v>463</v>
      </c>
      <c r="C480" s="148" t="s">
        <v>35</v>
      </c>
      <c r="D480" s="149" t="s">
        <v>232</v>
      </c>
      <c r="E480" s="150">
        <v>2007</v>
      </c>
      <c r="F480" s="150" t="s">
        <v>53</v>
      </c>
      <c r="G480" s="150" t="s">
        <v>169</v>
      </c>
      <c r="H480" s="150" t="s">
        <v>166</v>
      </c>
      <c r="I480" s="150" t="str">
        <f>Table1[[#This Row],[Wing]]&amp;-Table1[[#This Row],[Shop No / Office No. / Flat No.]]</f>
        <v>B-2007</v>
      </c>
      <c r="J480" s="173">
        <v>0</v>
      </c>
      <c r="K480" s="151">
        <f t="shared" ref="K480:K483" si="15">IFERROR(J480*10.764,0)</f>
        <v>0</v>
      </c>
      <c r="L480" s="152">
        <f>Table1[[#This Row],[RERA Carpet Area (Sq. Ft.)]]*1.1</f>
        <v>0</v>
      </c>
      <c r="M480" s="153" t="s">
        <v>53</v>
      </c>
      <c r="N480" s="152" t="s">
        <v>53</v>
      </c>
      <c r="O480" s="152"/>
      <c r="P480" s="174"/>
      <c r="Q480" s="154">
        <f>Table1[[#This Row],[Agreement Value as per  Excel]]-Table1[[#This Row],[Amt Received as per Excel]]</f>
        <v>0</v>
      </c>
      <c r="R480" s="155">
        <f t="shared" si="14"/>
        <v>0</v>
      </c>
      <c r="S480" s="160"/>
      <c r="T480" s="161"/>
      <c r="U480" s="157"/>
    </row>
    <row r="481" spans="2:21" hidden="1" x14ac:dyDescent="0.3">
      <c r="B481" s="148">
        <v>464</v>
      </c>
      <c r="C481" s="148" t="s">
        <v>35</v>
      </c>
      <c r="D481" s="149" t="s">
        <v>232</v>
      </c>
      <c r="E481" s="150">
        <v>2008</v>
      </c>
      <c r="F481" s="150" t="s">
        <v>53</v>
      </c>
      <c r="G481" s="150" t="s">
        <v>169</v>
      </c>
      <c r="H481" s="150" t="s">
        <v>166</v>
      </c>
      <c r="I481" s="150" t="str">
        <f>Table1[[#This Row],[Wing]]&amp;-Table1[[#This Row],[Shop No / Office No. / Flat No.]]</f>
        <v>B-2008</v>
      </c>
      <c r="J481" s="173">
        <v>0</v>
      </c>
      <c r="K481" s="151">
        <f t="shared" si="15"/>
        <v>0</v>
      </c>
      <c r="L481" s="152">
        <f>Table1[[#This Row],[RERA Carpet Area (Sq. Ft.)]]*1.1</f>
        <v>0</v>
      </c>
      <c r="M481" s="153" t="s">
        <v>53</v>
      </c>
      <c r="N481" s="152" t="s">
        <v>53</v>
      </c>
      <c r="O481" s="152"/>
      <c r="P481" s="174"/>
      <c r="Q481" s="154">
        <f>Table1[[#This Row],[Agreement Value as per  Excel]]-Table1[[#This Row],[Amt Received as per Excel]]</f>
        <v>0</v>
      </c>
      <c r="R481" s="155">
        <f t="shared" si="14"/>
        <v>0</v>
      </c>
      <c r="S481" s="160"/>
      <c r="T481" s="161"/>
      <c r="U481" s="157"/>
    </row>
    <row r="482" spans="2:21" hidden="1" x14ac:dyDescent="0.3">
      <c r="B482" s="148">
        <v>465</v>
      </c>
      <c r="C482" s="148" t="s">
        <v>35</v>
      </c>
      <c r="D482" s="149" t="s">
        <v>232</v>
      </c>
      <c r="E482" s="150">
        <v>2009</v>
      </c>
      <c r="F482" s="150" t="s">
        <v>172</v>
      </c>
      <c r="G482" s="150" t="s">
        <v>169</v>
      </c>
      <c r="H482" s="150" t="s">
        <v>166</v>
      </c>
      <c r="I482" s="150" t="str">
        <f>Table1[[#This Row],[Wing]]&amp;-Table1[[#This Row],[Shop No / Office No. / Flat No.]]</f>
        <v>B-2009</v>
      </c>
      <c r="J482" s="175">
        <v>65.16</v>
      </c>
      <c r="K482" s="151">
        <f t="shared" si="15"/>
        <v>701.38223999999991</v>
      </c>
      <c r="L482" s="152">
        <f>Table1[[#This Row],[RERA Carpet Area (Sq. Ft.)]]*1.1</f>
        <v>771.52046399999995</v>
      </c>
      <c r="M482" s="153" t="s">
        <v>168</v>
      </c>
      <c r="N482" s="152" t="s">
        <v>168</v>
      </c>
      <c r="O482" s="152">
        <v>10927500</v>
      </c>
      <c r="P482" s="174">
        <v>100000</v>
      </c>
      <c r="Q482" s="154">
        <f>Table1[[#This Row],[Agreement Value as per  Excel]]-Table1[[#This Row],[Amt Received as per Excel]]</f>
        <v>10827500</v>
      </c>
      <c r="R482" s="155">
        <f t="shared" si="14"/>
        <v>15579.949671950635</v>
      </c>
      <c r="S482" s="160"/>
      <c r="T482" s="161"/>
      <c r="U482" s="157"/>
    </row>
    <row r="483" spans="2:21" hidden="1" x14ac:dyDescent="0.3">
      <c r="B483" s="148">
        <v>466</v>
      </c>
      <c r="C483" s="148" t="s">
        <v>35</v>
      </c>
      <c r="D483" s="149" t="s">
        <v>232</v>
      </c>
      <c r="E483" s="150">
        <v>2010</v>
      </c>
      <c r="F483" s="150" t="s">
        <v>172</v>
      </c>
      <c r="G483" s="150" t="s">
        <v>169</v>
      </c>
      <c r="H483" s="150" t="s">
        <v>166</v>
      </c>
      <c r="I483" s="150" t="str">
        <f>Table1[[#This Row],[Wing]]&amp;-Table1[[#This Row],[Shop No / Office No. / Flat No.]]</f>
        <v>B-2010</v>
      </c>
      <c r="J483" s="175">
        <v>65.16</v>
      </c>
      <c r="K483" s="151">
        <f t="shared" si="15"/>
        <v>701.38223999999991</v>
      </c>
      <c r="L483" s="152">
        <f>Table1[[#This Row],[RERA Carpet Area (Sq. Ft.)]]*1.1</f>
        <v>771.52046399999995</v>
      </c>
      <c r="M483" s="153" t="s">
        <v>168</v>
      </c>
      <c r="N483" s="152" t="s">
        <v>168</v>
      </c>
      <c r="O483" s="152">
        <v>10927500</v>
      </c>
      <c r="P483" s="174">
        <v>200000</v>
      </c>
      <c r="Q483" s="154">
        <f>Table1[[#This Row],[Agreement Value as per  Excel]]-Table1[[#This Row],[Amt Received as per Excel]]</f>
        <v>10727500</v>
      </c>
      <c r="R483" s="155">
        <f t="shared" si="14"/>
        <v>15579.949671950635</v>
      </c>
      <c r="S483" s="160"/>
      <c r="T483" s="161"/>
      <c r="U483" s="157"/>
    </row>
    <row r="484" spans="2:21" hidden="1" x14ac:dyDescent="0.3">
      <c r="B484" s="177"/>
      <c r="C484" s="177"/>
      <c r="D484" s="178"/>
      <c r="E484" s="178"/>
      <c r="F484" s="178"/>
      <c r="G484" s="177"/>
      <c r="H484" s="177"/>
      <c r="I484" s="177" t="str">
        <f>Table1[[#This Row],[Wing]]&amp;-Table1[[#This Row],[Shop No / Office No. / Flat No.]]</f>
        <v>0</v>
      </c>
      <c r="J484" s="179">
        <f>SUM(J2:J483)</f>
        <v>25463.860000000022</v>
      </c>
      <c r="K484" s="179">
        <f>SUM(K2:K483)</f>
        <v>274092.98903999943</v>
      </c>
      <c r="L484" s="179">
        <f>SUM(L2:L483)</f>
        <v>301502.28794400027</v>
      </c>
      <c r="M484" s="179"/>
      <c r="N484" s="179"/>
      <c r="O484" s="179">
        <f>SUM(O2:O483)</f>
        <v>2823315346</v>
      </c>
      <c r="P484" s="179">
        <f>SUM(P2:P483)</f>
        <v>1185113797.25</v>
      </c>
      <c r="Q484" s="180">
        <f>SUM(Q2:Q483)</f>
        <v>1638201548.75</v>
      </c>
      <c r="R484" s="155">
        <f t="shared" si="14"/>
        <v>10300.574837351944</v>
      </c>
      <c r="S484" s="182"/>
      <c r="T484" s="183"/>
      <c r="U484" s="157"/>
    </row>
    <row r="485" spans="2:21" hidden="1" x14ac:dyDescent="0.3">
      <c r="I485" s="185" t="str">
        <f>Table1[[#This Row],[Wing]]&amp;-Table1[[#This Row],[Shop No / Office No. / Flat No.]]</f>
        <v>0</v>
      </c>
      <c r="J485" s="186"/>
      <c r="K485" s="186"/>
      <c r="N485" s="187"/>
      <c r="O485" s="187"/>
      <c r="P485" s="188"/>
      <c r="U485" s="157"/>
    </row>
    <row r="486" spans="2:21" x14ac:dyDescent="0.3">
      <c r="J486" s="189"/>
      <c r="K486" s="189"/>
      <c r="O486" s="190"/>
    </row>
    <row r="487" spans="2:21" x14ac:dyDescent="0.3">
      <c r="C487" s="150"/>
      <c r="D487" s="191"/>
      <c r="E487" s="155"/>
      <c r="F487" s="155"/>
      <c r="G487" s="192"/>
      <c r="O487" s="190"/>
    </row>
    <row r="488" spans="2:21" x14ac:dyDescent="0.3">
      <c r="C488" s="150"/>
      <c r="D488" s="191"/>
      <c r="E488" s="155"/>
      <c r="F488" s="155"/>
      <c r="G488" s="192"/>
    </row>
    <row r="489" spans="2:21" x14ac:dyDescent="0.3">
      <c r="C489" s="150"/>
      <c r="D489" s="191"/>
      <c r="E489" s="155"/>
      <c r="F489" s="155"/>
      <c r="G489" s="192"/>
    </row>
    <row r="490" spans="2:21" x14ac:dyDescent="0.3">
      <c r="C490" s="150"/>
      <c r="D490" s="191"/>
      <c r="E490" s="155"/>
      <c r="F490" s="155"/>
      <c r="G490" s="192"/>
    </row>
    <row r="491" spans="2:21" x14ac:dyDescent="0.3">
      <c r="C491" s="150"/>
      <c r="D491" s="191"/>
      <c r="E491" s="155"/>
      <c r="F491" s="155"/>
      <c r="G491" s="192"/>
    </row>
    <row r="492" spans="2:21" x14ac:dyDescent="0.3">
      <c r="C492" s="150"/>
      <c r="D492" s="191"/>
      <c r="E492" s="155"/>
      <c r="F492" s="155"/>
      <c r="G492" s="192"/>
    </row>
    <row r="493" spans="2:21" x14ac:dyDescent="0.3">
      <c r="C493" s="150"/>
      <c r="D493" s="191"/>
      <c r="E493" s="155"/>
      <c r="F493" s="155"/>
      <c r="G493" s="192"/>
    </row>
    <row r="494" spans="2:21" x14ac:dyDescent="0.3">
      <c r="C494" s="150"/>
      <c r="D494" s="191"/>
      <c r="E494" s="155"/>
      <c r="F494" s="155"/>
      <c r="G494" s="192"/>
    </row>
    <row r="495" spans="2:21" x14ac:dyDescent="0.3">
      <c r="C495" s="150"/>
      <c r="D495" s="191"/>
      <c r="E495" s="155"/>
      <c r="F495" s="155"/>
      <c r="G495" s="192"/>
    </row>
    <row r="496" spans="2:21" x14ac:dyDescent="0.3">
      <c r="C496" s="150"/>
      <c r="D496" s="191"/>
      <c r="E496" s="155"/>
      <c r="F496" s="155"/>
      <c r="G496" s="192"/>
    </row>
    <row r="497" spans="3:10" x14ac:dyDescent="0.3">
      <c r="C497" s="193"/>
      <c r="D497" s="191"/>
      <c r="E497" s="181"/>
      <c r="F497" s="181"/>
      <c r="G497" s="181"/>
    </row>
    <row r="498" spans="3:10" x14ac:dyDescent="0.3">
      <c r="E498" s="194"/>
      <c r="F498" s="194"/>
    </row>
    <row r="501" spans="3:10" x14ac:dyDescent="0.3">
      <c r="D501" s="195"/>
      <c r="E501" s="195"/>
      <c r="F501" s="195"/>
      <c r="G501" s="195"/>
      <c r="H501" s="195"/>
      <c r="I501" s="195"/>
      <c r="J501" s="195"/>
    </row>
    <row r="502" spans="3:10" x14ac:dyDescent="0.3">
      <c r="D502" s="196"/>
      <c r="E502" s="196"/>
      <c r="F502" s="196"/>
      <c r="G502" s="197"/>
      <c r="H502" s="197"/>
      <c r="I502" s="197"/>
      <c r="J502" s="197"/>
    </row>
    <row r="503" spans="3:10" x14ac:dyDescent="0.3">
      <c r="D503" s="196"/>
      <c r="E503" s="196"/>
      <c r="F503" s="196"/>
      <c r="G503" s="197"/>
      <c r="H503" s="197"/>
      <c r="I503" s="197"/>
      <c r="J503" s="197"/>
    </row>
    <row r="504" spans="3:10" x14ac:dyDescent="0.3">
      <c r="D504" s="196"/>
      <c r="E504" s="196"/>
      <c r="F504" s="196"/>
      <c r="G504" s="197"/>
      <c r="H504" s="197"/>
      <c r="I504" s="197"/>
      <c r="J504" s="197"/>
    </row>
    <row r="505" spans="3:10" x14ac:dyDescent="0.3">
      <c r="D505" s="196"/>
      <c r="E505" s="196"/>
      <c r="F505" s="196"/>
      <c r="G505" s="197"/>
      <c r="H505" s="197"/>
      <c r="I505" s="197"/>
      <c r="J505" s="197"/>
    </row>
    <row r="506" spans="3:10" x14ac:dyDescent="0.3">
      <c r="D506" s="196"/>
      <c r="E506" s="196"/>
      <c r="F506" s="196"/>
      <c r="G506" s="196"/>
      <c r="H506" s="196"/>
      <c r="I506" s="196"/>
      <c r="J506" s="198"/>
    </row>
    <row r="526" spans="2:10" x14ac:dyDescent="0.3">
      <c r="B526" s="199"/>
      <c r="C526" s="199"/>
      <c r="D526" s="199"/>
      <c r="E526" s="199"/>
      <c r="F526" s="199"/>
      <c r="G526" s="199"/>
      <c r="H526" s="199"/>
      <c r="I526" s="199"/>
      <c r="J526" s="199"/>
    </row>
    <row r="527" spans="2:10" x14ac:dyDescent="0.3">
      <c r="B527" s="200"/>
      <c r="C527" s="200"/>
      <c r="D527" s="191"/>
      <c r="E527" s="200"/>
      <c r="F527" s="200"/>
      <c r="G527" s="200"/>
      <c r="H527" s="200"/>
      <c r="I527" s="200"/>
      <c r="J527" s="200"/>
    </row>
    <row r="528" spans="2:10" x14ac:dyDescent="0.3">
      <c r="B528" s="200"/>
      <c r="C528" s="200"/>
      <c r="D528" s="191"/>
      <c r="E528" s="200"/>
      <c r="F528" s="200"/>
      <c r="G528" s="200"/>
      <c r="H528" s="200"/>
      <c r="I528" s="200"/>
      <c r="J528" s="200"/>
    </row>
    <row r="529" spans="2:10" x14ac:dyDescent="0.3">
      <c r="B529" s="200"/>
      <c r="C529" s="200"/>
      <c r="D529" s="191"/>
      <c r="E529" s="200"/>
      <c r="F529" s="200"/>
      <c r="G529" s="200"/>
      <c r="H529" s="200"/>
      <c r="I529" s="200"/>
      <c r="J529" s="200"/>
    </row>
    <row r="530" spans="2:10" x14ac:dyDescent="0.3">
      <c r="B530" s="200"/>
      <c r="C530" s="200"/>
      <c r="D530" s="191"/>
      <c r="E530" s="200"/>
      <c r="F530" s="200"/>
      <c r="G530" s="200"/>
      <c r="H530" s="200"/>
      <c r="I530" s="200"/>
      <c r="J530" s="200"/>
    </row>
    <row r="531" spans="2:10" x14ac:dyDescent="0.3">
      <c r="B531" s="200"/>
      <c r="C531" s="200"/>
      <c r="D531" s="191"/>
      <c r="E531" s="200"/>
      <c r="F531" s="200"/>
      <c r="G531" s="200"/>
      <c r="H531" s="200"/>
      <c r="I531" s="200"/>
      <c r="J531" s="200"/>
    </row>
    <row r="532" spans="2:10" x14ac:dyDescent="0.3">
      <c r="B532" s="200"/>
      <c r="C532" s="200"/>
      <c r="D532" s="191"/>
      <c r="E532" s="200"/>
      <c r="F532" s="200"/>
      <c r="G532" s="200"/>
      <c r="H532" s="200"/>
      <c r="I532" s="200"/>
      <c r="J532" s="200"/>
    </row>
    <row r="533" spans="2:10" x14ac:dyDescent="0.3">
      <c r="B533" s="200"/>
      <c r="C533" s="200"/>
      <c r="D533" s="191"/>
      <c r="E533" s="200"/>
      <c r="F533" s="200"/>
      <c r="G533" s="200"/>
      <c r="H533" s="200"/>
      <c r="I533" s="200"/>
      <c r="J533" s="200"/>
    </row>
    <row r="534" spans="2:10" x14ac:dyDescent="0.3">
      <c r="B534" s="200"/>
      <c r="C534" s="200"/>
      <c r="D534" s="191"/>
      <c r="E534" s="200"/>
      <c r="F534" s="200"/>
      <c r="G534" s="200"/>
      <c r="H534" s="200"/>
      <c r="I534" s="200"/>
      <c r="J534" s="200"/>
    </row>
    <row r="535" spans="2:10" x14ac:dyDescent="0.3">
      <c r="B535" s="200"/>
      <c r="C535" s="200"/>
      <c r="D535" s="191"/>
      <c r="E535" s="200"/>
      <c r="F535" s="200"/>
      <c r="G535" s="200"/>
      <c r="H535" s="200"/>
      <c r="I535" s="200"/>
      <c r="J535" s="200"/>
    </row>
    <row r="536" spans="2:10" x14ac:dyDescent="0.3">
      <c r="B536" s="200"/>
      <c r="C536" s="200"/>
      <c r="D536" s="191"/>
      <c r="E536" s="200"/>
      <c r="F536" s="200"/>
      <c r="G536" s="200"/>
      <c r="H536" s="200"/>
      <c r="I536" s="200"/>
      <c r="J536" s="200"/>
    </row>
    <row r="537" spans="2:10" x14ac:dyDescent="0.3">
      <c r="B537" s="200"/>
      <c r="C537" s="200"/>
      <c r="D537" s="191"/>
      <c r="E537" s="200"/>
      <c r="F537" s="200"/>
      <c r="G537" s="200"/>
      <c r="H537" s="200"/>
      <c r="I537" s="200"/>
      <c r="J537" s="200"/>
    </row>
    <row r="538" spans="2:10" x14ac:dyDescent="0.3">
      <c r="B538" s="200"/>
      <c r="C538" s="200"/>
      <c r="D538" s="191"/>
      <c r="E538" s="200"/>
      <c r="F538" s="200"/>
      <c r="G538" s="200"/>
      <c r="H538" s="200"/>
      <c r="I538" s="200"/>
      <c r="J538" s="200"/>
    </row>
    <row r="539" spans="2:10" x14ac:dyDescent="0.3">
      <c r="B539" s="200"/>
      <c r="C539" s="200"/>
      <c r="D539" s="191"/>
      <c r="E539" s="200"/>
      <c r="F539" s="200"/>
      <c r="G539" s="200"/>
      <c r="H539" s="200"/>
      <c r="I539" s="200"/>
      <c r="J539" s="200"/>
    </row>
    <row r="540" spans="2:10" x14ac:dyDescent="0.3">
      <c r="B540" s="200"/>
      <c r="C540" s="200"/>
      <c r="D540" s="191"/>
      <c r="E540" s="200"/>
      <c r="F540" s="200"/>
      <c r="G540" s="200"/>
      <c r="H540" s="200"/>
      <c r="I540" s="200"/>
      <c r="J540" s="200"/>
    </row>
    <row r="541" spans="2:10" x14ac:dyDescent="0.3">
      <c r="B541" s="200"/>
      <c r="C541" s="200"/>
      <c r="D541" s="191"/>
      <c r="E541" s="200"/>
      <c r="F541" s="200"/>
      <c r="G541" s="200"/>
      <c r="H541" s="200"/>
      <c r="I541" s="200"/>
      <c r="J541" s="200"/>
    </row>
    <row r="542" spans="2:10" x14ac:dyDescent="0.3">
      <c r="B542" s="200"/>
      <c r="C542" s="200"/>
      <c r="D542" s="191"/>
      <c r="E542" s="200"/>
      <c r="F542" s="200"/>
      <c r="G542" s="200"/>
      <c r="H542" s="200"/>
      <c r="I542" s="200"/>
      <c r="J542" s="200"/>
    </row>
    <row r="543" spans="2:10" x14ac:dyDescent="0.3">
      <c r="B543" s="200"/>
      <c r="C543" s="200"/>
      <c r="D543" s="191"/>
      <c r="E543" s="200"/>
      <c r="F543" s="200"/>
      <c r="G543" s="200"/>
      <c r="H543" s="200"/>
      <c r="I543" s="200"/>
      <c r="J543" s="200"/>
    </row>
    <row r="544" spans="2:10" x14ac:dyDescent="0.3">
      <c r="B544" s="200"/>
      <c r="C544" s="200"/>
      <c r="D544" s="191"/>
      <c r="E544" s="200"/>
      <c r="F544" s="200"/>
      <c r="G544" s="200"/>
      <c r="H544" s="200"/>
      <c r="I544" s="200"/>
      <c r="J544" s="200"/>
    </row>
    <row r="545" spans="2:10" x14ac:dyDescent="0.3">
      <c r="B545" s="200"/>
      <c r="C545" s="200"/>
      <c r="D545" s="191"/>
      <c r="E545" s="200"/>
      <c r="F545" s="200"/>
      <c r="G545" s="200"/>
      <c r="H545" s="200"/>
      <c r="I545" s="200"/>
      <c r="J545" s="200"/>
    </row>
    <row r="546" spans="2:10" x14ac:dyDescent="0.3">
      <c r="B546" s="200"/>
      <c r="C546" s="200"/>
      <c r="D546" s="191"/>
      <c r="E546" s="200"/>
      <c r="F546" s="200"/>
      <c r="G546" s="200"/>
      <c r="H546" s="200"/>
      <c r="I546" s="200"/>
      <c r="J546" s="200"/>
    </row>
    <row r="547" spans="2:10" x14ac:dyDescent="0.3">
      <c r="B547" s="200"/>
      <c r="C547" s="200"/>
      <c r="D547" s="191"/>
      <c r="E547" s="200"/>
      <c r="F547" s="200"/>
      <c r="G547" s="200"/>
      <c r="H547" s="200"/>
      <c r="I547" s="200"/>
      <c r="J547" s="200"/>
    </row>
    <row r="548" spans="2:10" x14ac:dyDescent="0.3">
      <c r="B548" s="200"/>
      <c r="C548" s="200"/>
      <c r="D548" s="191"/>
      <c r="E548" s="200"/>
      <c r="F548" s="200"/>
      <c r="G548" s="200"/>
      <c r="H548" s="200"/>
      <c r="I548" s="200"/>
      <c r="J548" s="200"/>
    </row>
    <row r="549" spans="2:10" x14ac:dyDescent="0.3">
      <c r="B549" s="200"/>
      <c r="C549" s="200"/>
      <c r="D549" s="191"/>
      <c r="E549" s="200"/>
      <c r="F549" s="200"/>
      <c r="G549" s="200"/>
      <c r="H549" s="200"/>
      <c r="I549" s="200"/>
      <c r="J549" s="200"/>
    </row>
    <row r="550" spans="2:10" x14ac:dyDescent="0.3">
      <c r="B550" s="200"/>
      <c r="C550" s="200"/>
      <c r="D550" s="191"/>
      <c r="E550" s="200"/>
      <c r="F550" s="200"/>
      <c r="G550" s="200"/>
      <c r="H550" s="200"/>
      <c r="I550" s="200"/>
      <c r="J550" s="200"/>
    </row>
    <row r="551" spans="2:10" x14ac:dyDescent="0.3">
      <c r="B551" s="200"/>
      <c r="C551" s="200"/>
      <c r="D551" s="191"/>
      <c r="E551" s="200"/>
      <c r="F551" s="200"/>
      <c r="G551" s="200"/>
      <c r="H551" s="200"/>
      <c r="I551" s="200"/>
      <c r="J551" s="200"/>
    </row>
    <row r="552" spans="2:10" x14ac:dyDescent="0.3">
      <c r="B552" s="200"/>
      <c r="C552" s="200"/>
      <c r="D552" s="191"/>
      <c r="E552" s="200"/>
      <c r="F552" s="200"/>
      <c r="G552" s="200"/>
      <c r="H552" s="200"/>
      <c r="I552" s="200"/>
      <c r="J552" s="200"/>
    </row>
    <row r="553" spans="2:10" x14ac:dyDescent="0.3">
      <c r="B553" s="200"/>
      <c r="C553" s="200"/>
      <c r="D553" s="191"/>
      <c r="E553" s="200"/>
      <c r="F553" s="200"/>
      <c r="G553" s="200"/>
      <c r="H553" s="200"/>
      <c r="I553" s="200"/>
      <c r="J553" s="200"/>
    </row>
    <row r="554" spans="2:10" x14ac:dyDescent="0.3">
      <c r="B554" s="200"/>
      <c r="C554" s="200"/>
      <c r="D554" s="191"/>
      <c r="E554" s="200"/>
      <c r="F554" s="200"/>
      <c r="G554" s="200"/>
      <c r="H554" s="200"/>
      <c r="I554" s="200"/>
      <c r="J554" s="200"/>
    </row>
    <row r="555" spans="2:10" x14ac:dyDescent="0.3">
      <c r="B555" s="200"/>
      <c r="C555" s="200"/>
      <c r="D555" s="191"/>
      <c r="E555" s="200"/>
      <c r="F555" s="200"/>
      <c r="G555" s="200"/>
      <c r="H555" s="200"/>
      <c r="I555" s="200"/>
      <c r="J555" s="200"/>
    </row>
    <row r="556" spans="2:10" x14ac:dyDescent="0.3">
      <c r="B556" s="200"/>
      <c r="C556" s="200"/>
      <c r="D556" s="191"/>
      <c r="E556" s="200"/>
      <c r="F556" s="200"/>
      <c r="G556" s="200"/>
      <c r="H556" s="200"/>
      <c r="I556" s="200"/>
      <c r="J556" s="200"/>
    </row>
    <row r="557" spans="2:10" x14ac:dyDescent="0.3">
      <c r="B557" s="200"/>
      <c r="C557" s="200"/>
      <c r="D557" s="191"/>
      <c r="E557" s="200"/>
      <c r="F557" s="200"/>
      <c r="G557" s="200"/>
      <c r="H557" s="200"/>
      <c r="I557" s="200"/>
      <c r="J557" s="200"/>
    </row>
    <row r="558" spans="2:10" x14ac:dyDescent="0.3">
      <c r="B558" s="200"/>
      <c r="C558" s="200"/>
      <c r="D558" s="191"/>
      <c r="E558" s="200"/>
      <c r="F558" s="200"/>
      <c r="G558" s="200"/>
      <c r="H558" s="200"/>
      <c r="I558" s="200"/>
      <c r="J558" s="200"/>
    </row>
    <row r="559" spans="2:10" x14ac:dyDescent="0.3">
      <c r="B559" s="200"/>
      <c r="C559" s="200"/>
      <c r="D559" s="191"/>
      <c r="E559" s="200"/>
      <c r="F559" s="200"/>
      <c r="G559" s="200"/>
      <c r="H559" s="200"/>
      <c r="I559" s="200"/>
      <c r="J559" s="200"/>
    </row>
    <row r="560" spans="2:10" x14ac:dyDescent="0.3">
      <c r="B560" s="200"/>
      <c r="C560" s="200"/>
      <c r="D560" s="191"/>
      <c r="E560" s="200"/>
      <c r="F560" s="200"/>
      <c r="G560" s="200"/>
      <c r="H560" s="200"/>
      <c r="I560" s="200"/>
      <c r="J560" s="200"/>
    </row>
    <row r="561" spans="2:10" x14ac:dyDescent="0.3">
      <c r="B561" s="200"/>
      <c r="C561" s="200"/>
      <c r="D561" s="191"/>
      <c r="E561" s="200"/>
      <c r="F561" s="200"/>
      <c r="G561" s="200"/>
      <c r="H561" s="200"/>
      <c r="I561" s="200"/>
      <c r="J561" s="200"/>
    </row>
    <row r="562" spans="2:10" x14ac:dyDescent="0.3">
      <c r="B562" s="200"/>
      <c r="C562" s="200"/>
      <c r="D562" s="191"/>
      <c r="E562" s="200"/>
      <c r="F562" s="200"/>
      <c r="G562" s="200"/>
      <c r="H562" s="200"/>
      <c r="I562" s="200"/>
      <c r="J562" s="200"/>
    </row>
    <row r="563" spans="2:10" x14ac:dyDescent="0.3">
      <c r="B563" s="200"/>
      <c r="C563" s="200"/>
      <c r="D563" s="191"/>
      <c r="E563" s="200"/>
      <c r="F563" s="200"/>
      <c r="G563" s="200"/>
      <c r="H563" s="200"/>
      <c r="I563" s="200"/>
      <c r="J563" s="200"/>
    </row>
    <row r="564" spans="2:10" x14ac:dyDescent="0.3">
      <c r="B564" s="200"/>
      <c r="C564" s="200"/>
      <c r="D564" s="191"/>
      <c r="E564" s="200"/>
      <c r="F564" s="200"/>
      <c r="G564" s="200"/>
      <c r="H564" s="200"/>
      <c r="I564" s="200"/>
      <c r="J564" s="200"/>
    </row>
    <row r="565" spans="2:10" x14ac:dyDescent="0.3">
      <c r="B565" s="200"/>
      <c r="C565" s="200"/>
      <c r="D565" s="191"/>
      <c r="E565" s="200"/>
      <c r="F565" s="200"/>
      <c r="G565" s="200"/>
      <c r="H565" s="200"/>
      <c r="I565" s="200"/>
      <c r="J565" s="200"/>
    </row>
    <row r="566" spans="2:10" x14ac:dyDescent="0.3">
      <c r="B566" s="200"/>
      <c r="C566" s="200"/>
      <c r="D566" s="191"/>
      <c r="E566" s="200"/>
      <c r="F566" s="200"/>
      <c r="G566" s="200"/>
      <c r="H566" s="200"/>
      <c r="I566" s="200"/>
      <c r="J566" s="200"/>
    </row>
    <row r="567" spans="2:10" x14ac:dyDescent="0.3">
      <c r="B567" s="200"/>
      <c r="C567" s="200"/>
      <c r="D567" s="191"/>
      <c r="E567" s="200"/>
      <c r="F567" s="200"/>
      <c r="G567" s="200"/>
      <c r="H567" s="200"/>
      <c r="I567" s="200"/>
      <c r="J567" s="200"/>
    </row>
    <row r="568" spans="2:10" x14ac:dyDescent="0.3">
      <c r="B568" s="200"/>
      <c r="C568" s="200"/>
      <c r="D568" s="191"/>
      <c r="E568" s="200"/>
      <c r="F568" s="200"/>
      <c r="G568" s="200"/>
      <c r="H568" s="200"/>
      <c r="I568" s="200"/>
      <c r="J568" s="200"/>
    </row>
    <row r="569" spans="2:10" x14ac:dyDescent="0.3">
      <c r="B569" s="200"/>
      <c r="C569" s="200"/>
      <c r="D569" s="191"/>
      <c r="E569" s="200"/>
      <c r="F569" s="200"/>
      <c r="G569" s="200"/>
      <c r="H569" s="200"/>
      <c r="I569" s="200"/>
      <c r="J569" s="200"/>
    </row>
    <row r="570" spans="2:10" x14ac:dyDescent="0.3">
      <c r="B570" s="200"/>
      <c r="C570" s="200"/>
      <c r="D570" s="191"/>
      <c r="E570" s="200"/>
      <c r="F570" s="200"/>
      <c r="G570" s="200"/>
      <c r="H570" s="200"/>
      <c r="I570" s="200"/>
      <c r="J570" s="200"/>
    </row>
    <row r="571" spans="2:10" x14ac:dyDescent="0.3">
      <c r="B571" s="200"/>
      <c r="C571" s="200"/>
      <c r="D571" s="191"/>
      <c r="E571" s="200"/>
      <c r="F571" s="200"/>
      <c r="G571" s="200"/>
      <c r="H571" s="200"/>
      <c r="I571" s="200"/>
      <c r="J571" s="200"/>
    </row>
    <row r="572" spans="2:10" x14ac:dyDescent="0.3">
      <c r="B572" s="200"/>
      <c r="C572" s="200"/>
      <c r="D572" s="191"/>
      <c r="E572" s="200"/>
      <c r="F572" s="200"/>
      <c r="G572" s="200"/>
      <c r="H572" s="200"/>
      <c r="I572" s="200"/>
      <c r="J572" s="200"/>
    </row>
    <row r="573" spans="2:10" x14ac:dyDescent="0.3">
      <c r="B573" s="200"/>
      <c r="C573" s="200"/>
      <c r="D573" s="191"/>
      <c r="E573" s="200"/>
      <c r="F573" s="200"/>
      <c r="G573" s="200"/>
      <c r="H573" s="200"/>
      <c r="I573" s="200"/>
      <c r="J573" s="200"/>
    </row>
    <row r="574" spans="2:10" x14ac:dyDescent="0.3">
      <c r="B574" s="200"/>
      <c r="C574" s="200"/>
      <c r="D574" s="191"/>
      <c r="E574" s="200"/>
      <c r="F574" s="200"/>
      <c r="G574" s="200"/>
      <c r="H574" s="200"/>
      <c r="I574" s="200"/>
      <c r="J574" s="200"/>
    </row>
    <row r="575" spans="2:10" x14ac:dyDescent="0.3">
      <c r="B575" s="200"/>
      <c r="C575" s="200"/>
      <c r="D575" s="191"/>
      <c r="E575" s="200"/>
      <c r="F575" s="200"/>
      <c r="G575" s="200"/>
      <c r="H575" s="200"/>
      <c r="I575" s="200"/>
      <c r="J575" s="200"/>
    </row>
    <row r="576" spans="2:10" x14ac:dyDescent="0.3">
      <c r="B576" s="200"/>
      <c r="C576" s="200"/>
      <c r="D576" s="191"/>
      <c r="E576" s="200"/>
      <c r="F576" s="200"/>
      <c r="G576" s="200"/>
      <c r="H576" s="200"/>
      <c r="I576" s="200"/>
      <c r="J576" s="200"/>
    </row>
    <row r="577" spans="2:10" x14ac:dyDescent="0.3">
      <c r="B577" s="200"/>
      <c r="C577" s="200"/>
      <c r="D577" s="191"/>
      <c r="E577" s="200"/>
      <c r="F577" s="200"/>
      <c r="G577" s="200"/>
      <c r="H577" s="200"/>
      <c r="I577" s="200"/>
      <c r="J577" s="200"/>
    </row>
    <row r="578" spans="2:10" x14ac:dyDescent="0.3">
      <c r="B578" s="200"/>
      <c r="C578" s="200"/>
      <c r="D578" s="191"/>
      <c r="E578" s="200"/>
      <c r="F578" s="200"/>
      <c r="G578" s="200"/>
      <c r="H578" s="200"/>
      <c r="I578" s="200"/>
      <c r="J578" s="200"/>
    </row>
    <row r="579" spans="2:10" x14ac:dyDescent="0.3">
      <c r="B579" s="200"/>
      <c r="C579" s="200"/>
      <c r="D579" s="191"/>
      <c r="E579" s="200"/>
      <c r="F579" s="200"/>
      <c r="G579" s="200"/>
      <c r="H579" s="200"/>
      <c r="I579" s="200"/>
      <c r="J579" s="200"/>
    </row>
    <row r="580" spans="2:10" x14ac:dyDescent="0.3">
      <c r="B580" s="200"/>
      <c r="C580" s="200"/>
      <c r="D580" s="191"/>
      <c r="E580" s="200"/>
      <c r="F580" s="200"/>
      <c r="G580" s="200"/>
      <c r="H580" s="200"/>
      <c r="I580" s="200"/>
      <c r="J580" s="200"/>
    </row>
    <row r="581" spans="2:10" x14ac:dyDescent="0.3">
      <c r="B581" s="200"/>
      <c r="C581" s="200"/>
      <c r="D581" s="191"/>
      <c r="E581" s="200"/>
      <c r="F581" s="200"/>
      <c r="G581" s="200"/>
      <c r="H581" s="200"/>
      <c r="I581" s="200"/>
      <c r="J581" s="200"/>
    </row>
    <row r="582" spans="2:10" x14ac:dyDescent="0.3">
      <c r="B582" s="200"/>
      <c r="C582" s="200"/>
      <c r="D582" s="191"/>
      <c r="E582" s="200"/>
      <c r="F582" s="200"/>
      <c r="G582" s="200"/>
      <c r="H582" s="200"/>
      <c r="I582" s="200"/>
      <c r="J582" s="200"/>
    </row>
    <row r="583" spans="2:10" x14ac:dyDescent="0.3">
      <c r="B583" s="200"/>
      <c r="C583" s="200"/>
      <c r="D583" s="191"/>
      <c r="E583" s="200"/>
      <c r="F583" s="200"/>
      <c r="G583" s="200"/>
      <c r="H583" s="200"/>
      <c r="I583" s="200"/>
      <c r="J583" s="200"/>
    </row>
    <row r="584" spans="2:10" x14ac:dyDescent="0.3">
      <c r="B584" s="200"/>
      <c r="C584" s="200"/>
      <c r="D584" s="191"/>
      <c r="E584" s="200"/>
      <c r="F584" s="200"/>
      <c r="G584" s="200"/>
      <c r="H584" s="200"/>
      <c r="I584" s="200"/>
      <c r="J584" s="200"/>
    </row>
    <row r="585" spans="2:10" x14ac:dyDescent="0.3">
      <c r="B585" s="200"/>
      <c r="C585" s="200"/>
      <c r="D585" s="191"/>
      <c r="E585" s="200"/>
      <c r="F585" s="200"/>
      <c r="G585" s="200"/>
      <c r="H585" s="200"/>
      <c r="I585" s="200"/>
      <c r="J585" s="200"/>
    </row>
    <row r="586" spans="2:10" x14ac:dyDescent="0.3">
      <c r="B586" s="201"/>
      <c r="C586" s="201"/>
      <c r="D586" s="191"/>
      <c r="E586" s="193"/>
      <c r="F586" s="193"/>
      <c r="G586" s="193"/>
      <c r="H586" s="193"/>
      <c r="I586" s="193"/>
      <c r="J586" s="193"/>
    </row>
    <row r="587" spans="2:10" x14ac:dyDescent="0.3">
      <c r="G587" s="158"/>
      <c r="H587" s="158"/>
      <c r="I587" s="158"/>
      <c r="J587" s="185"/>
    </row>
    <row r="588" spans="2:10" x14ac:dyDescent="0.3">
      <c r="G588" s="158"/>
      <c r="H588" s="158"/>
      <c r="I588" s="158"/>
      <c r="J588" s="185"/>
    </row>
    <row r="589" spans="2:10" x14ac:dyDescent="0.3">
      <c r="D589" s="191"/>
      <c r="E589" s="202"/>
      <c r="F589" s="202"/>
      <c r="G589" s="202"/>
      <c r="H589" s="202"/>
      <c r="I589" s="203"/>
      <c r="J589" s="185"/>
    </row>
    <row r="590" spans="2:10" x14ac:dyDescent="0.3">
      <c r="D590" s="191"/>
      <c r="E590" s="155"/>
      <c r="F590" s="155"/>
      <c r="G590" s="204"/>
      <c r="H590" s="204"/>
      <c r="J590" s="189"/>
    </row>
    <row r="591" spans="2:10" x14ac:dyDescent="0.3">
      <c r="D591" s="191"/>
      <c r="E591" s="155"/>
      <c r="F591" s="155"/>
      <c r="G591" s="204"/>
      <c r="H591" s="204"/>
      <c r="J591" s="189"/>
    </row>
    <row r="592" spans="2:10" x14ac:dyDescent="0.3">
      <c r="D592" s="191"/>
      <c r="E592" s="155"/>
      <c r="F592" s="155"/>
      <c r="G592" s="204"/>
      <c r="H592" s="204"/>
      <c r="J592" s="189"/>
    </row>
    <row r="593" spans="2:10" x14ac:dyDescent="0.3">
      <c r="D593" s="191"/>
      <c r="E593" s="205"/>
      <c r="F593" s="205"/>
      <c r="G593" s="206"/>
      <c r="H593" s="206"/>
      <c r="I593" s="207"/>
      <c r="J593" s="189"/>
    </row>
    <row r="602" spans="2:10" x14ac:dyDescent="0.3">
      <c r="B602" s="208"/>
      <c r="C602" s="209"/>
      <c r="D602" s="208"/>
      <c r="E602" s="208"/>
      <c r="F602" s="208"/>
      <c r="G602" s="208"/>
      <c r="H602" s="208"/>
      <c r="I602" s="210"/>
    </row>
    <row r="603" spans="2:10" x14ac:dyDescent="0.3">
      <c r="B603" s="211"/>
      <c r="C603" s="212"/>
      <c r="D603" s="213"/>
      <c r="E603" s="214"/>
      <c r="F603" s="214"/>
      <c r="G603" s="213"/>
      <c r="H603" s="213"/>
      <c r="I603" s="215"/>
    </row>
    <row r="604" spans="2:10" x14ac:dyDescent="0.3">
      <c r="B604" s="211"/>
      <c r="C604" s="212"/>
      <c r="D604" s="213"/>
      <c r="E604" s="214"/>
      <c r="F604" s="214"/>
      <c r="G604" s="213"/>
      <c r="H604" s="213"/>
      <c r="I604" s="215"/>
    </row>
    <row r="605" spans="2:10" x14ac:dyDescent="0.3">
      <c r="B605" s="211"/>
      <c r="C605" s="212"/>
      <c r="D605" s="213"/>
      <c r="E605" s="214"/>
      <c r="F605" s="214"/>
      <c r="G605" s="213"/>
      <c r="H605" s="213"/>
      <c r="I605" s="215"/>
    </row>
    <row r="606" spans="2:10" x14ac:dyDescent="0.3">
      <c r="B606" s="211"/>
      <c r="C606" s="212"/>
      <c r="D606" s="213"/>
      <c r="E606" s="214"/>
      <c r="F606" s="214"/>
      <c r="G606" s="213"/>
      <c r="H606" s="213"/>
      <c r="I606" s="215"/>
    </row>
    <row r="607" spans="2:10" x14ac:dyDescent="0.3">
      <c r="B607" s="211"/>
      <c r="C607" s="212"/>
      <c r="D607" s="213"/>
      <c r="E607" s="214"/>
      <c r="F607" s="214"/>
      <c r="G607" s="213"/>
      <c r="H607" s="213"/>
      <c r="I607" s="215"/>
    </row>
    <row r="608" spans="2:10" x14ac:dyDescent="0.3">
      <c r="B608" s="211"/>
      <c r="C608" s="212"/>
      <c r="D608" s="213"/>
      <c r="E608" s="214"/>
      <c r="F608" s="214"/>
      <c r="G608" s="213"/>
      <c r="H608" s="213"/>
      <c r="I608" s="215"/>
    </row>
    <row r="609" spans="2:9" x14ac:dyDescent="0.3">
      <c r="B609" s="211"/>
      <c r="C609" s="212"/>
      <c r="D609" s="213"/>
      <c r="E609" s="214"/>
      <c r="F609" s="214"/>
      <c r="G609" s="213"/>
      <c r="H609" s="213"/>
      <c r="I609" s="215"/>
    </row>
    <row r="610" spans="2:9" x14ac:dyDescent="0.3">
      <c r="B610" s="211"/>
      <c r="C610" s="212"/>
      <c r="D610" s="213"/>
      <c r="E610" s="214"/>
      <c r="F610" s="214"/>
      <c r="G610" s="213"/>
      <c r="H610" s="213"/>
      <c r="I610" s="215"/>
    </row>
    <row r="611" spans="2:9" x14ac:dyDescent="0.3">
      <c r="B611" s="211"/>
      <c r="C611" s="212"/>
      <c r="D611" s="213"/>
      <c r="E611" s="214"/>
      <c r="F611" s="214"/>
      <c r="G611" s="213"/>
      <c r="H611" s="213"/>
      <c r="I611" s="215"/>
    </row>
    <row r="612" spans="2:9" x14ac:dyDescent="0.3">
      <c r="B612" s="211"/>
      <c r="C612" s="212"/>
      <c r="D612" s="213"/>
      <c r="E612" s="214"/>
      <c r="F612" s="214"/>
      <c r="G612" s="213"/>
      <c r="H612" s="213"/>
      <c r="I612" s="215"/>
    </row>
    <row r="613" spans="2:9" x14ac:dyDescent="0.3">
      <c r="B613" s="211"/>
      <c r="C613" s="212"/>
      <c r="D613" s="213"/>
      <c r="E613" s="214"/>
      <c r="F613" s="214"/>
      <c r="G613" s="213"/>
      <c r="H613" s="213"/>
      <c r="I613" s="215"/>
    </row>
    <row r="614" spans="2:9" x14ac:dyDescent="0.3">
      <c r="B614" s="211"/>
      <c r="C614" s="212"/>
      <c r="D614" s="213"/>
      <c r="E614" s="214"/>
      <c r="F614" s="214"/>
      <c r="G614" s="213"/>
      <c r="H614" s="213"/>
      <c r="I614" s="215"/>
    </row>
    <row r="615" spans="2:9" x14ac:dyDescent="0.3">
      <c r="B615" s="211"/>
      <c r="C615" s="212"/>
      <c r="D615" s="213"/>
      <c r="E615" s="214"/>
      <c r="F615" s="214"/>
      <c r="G615" s="213"/>
      <c r="H615" s="213"/>
      <c r="I615" s="215"/>
    </row>
    <row r="616" spans="2:9" x14ac:dyDescent="0.3">
      <c r="B616" s="211"/>
      <c r="C616" s="212"/>
      <c r="D616" s="213"/>
      <c r="E616" s="214"/>
      <c r="F616" s="214"/>
      <c r="G616" s="213"/>
      <c r="H616" s="213"/>
      <c r="I616" s="215"/>
    </row>
    <row r="617" spans="2:9" x14ac:dyDescent="0.3">
      <c r="B617" s="211"/>
      <c r="C617" s="212"/>
      <c r="D617" s="213"/>
      <c r="E617" s="214"/>
      <c r="F617" s="214"/>
      <c r="G617" s="213"/>
      <c r="H617" s="213"/>
      <c r="I617" s="215"/>
    </row>
    <row r="618" spans="2:9" x14ac:dyDescent="0.3">
      <c r="B618" s="211"/>
      <c r="C618" s="212"/>
      <c r="D618" s="213"/>
      <c r="E618" s="214"/>
      <c r="F618" s="214"/>
      <c r="G618" s="213"/>
      <c r="H618" s="213"/>
      <c r="I618" s="215"/>
    </row>
    <row r="619" spans="2:9" x14ac:dyDescent="0.3">
      <c r="B619" s="211"/>
      <c r="C619" s="212"/>
      <c r="D619" s="213"/>
      <c r="E619" s="214"/>
      <c r="F619" s="214"/>
      <c r="G619" s="213"/>
      <c r="H619" s="213"/>
      <c r="I619" s="215"/>
    </row>
    <row r="620" spans="2:9" x14ac:dyDescent="0.3">
      <c r="B620" s="211"/>
      <c r="C620" s="212"/>
      <c r="D620" s="213"/>
      <c r="E620" s="214"/>
      <c r="F620" s="214"/>
      <c r="G620" s="213"/>
      <c r="H620" s="213"/>
      <c r="I620" s="215"/>
    </row>
    <row r="621" spans="2:9" x14ac:dyDescent="0.3">
      <c r="B621" s="211"/>
      <c r="C621" s="212"/>
      <c r="D621" s="213"/>
      <c r="E621" s="214"/>
      <c r="F621" s="214"/>
      <c r="G621" s="213"/>
      <c r="H621" s="213"/>
      <c r="I621" s="215"/>
    </row>
    <row r="622" spans="2:9" x14ac:dyDescent="0.3">
      <c r="B622" s="211"/>
      <c r="C622" s="212"/>
      <c r="D622" s="213"/>
      <c r="E622" s="214"/>
      <c r="F622" s="214"/>
      <c r="G622" s="213"/>
      <c r="H622" s="213"/>
      <c r="I622" s="215"/>
    </row>
    <row r="623" spans="2:9" x14ac:dyDescent="0.3">
      <c r="B623" s="211"/>
      <c r="C623" s="212"/>
      <c r="D623" s="213"/>
      <c r="E623" s="214"/>
      <c r="F623" s="214"/>
      <c r="G623" s="213"/>
      <c r="H623" s="213"/>
      <c r="I623" s="215"/>
    </row>
    <row r="624" spans="2:9" x14ac:dyDescent="0.3">
      <c r="B624" s="211"/>
      <c r="C624" s="212"/>
      <c r="D624" s="213"/>
      <c r="E624" s="214"/>
      <c r="F624" s="214"/>
      <c r="G624" s="213"/>
      <c r="H624" s="213"/>
      <c r="I624" s="215"/>
    </row>
    <row r="625" spans="2:9" x14ac:dyDescent="0.3">
      <c r="B625" s="211"/>
      <c r="C625" s="212"/>
      <c r="D625" s="213"/>
      <c r="E625" s="214"/>
      <c r="F625" s="214"/>
      <c r="G625" s="213"/>
      <c r="H625" s="213"/>
      <c r="I625" s="215"/>
    </row>
    <row r="626" spans="2:9" x14ac:dyDescent="0.3">
      <c r="B626" s="211"/>
      <c r="C626" s="212"/>
      <c r="D626" s="213"/>
      <c r="E626" s="214"/>
      <c r="F626" s="214"/>
      <c r="G626" s="213"/>
      <c r="H626" s="213"/>
      <c r="I626" s="215"/>
    </row>
    <row r="627" spans="2:9" x14ac:dyDescent="0.3">
      <c r="B627" s="211"/>
      <c r="C627" s="212"/>
      <c r="D627" s="213"/>
      <c r="E627" s="214"/>
      <c r="F627" s="214"/>
      <c r="G627" s="213"/>
      <c r="H627" s="213"/>
      <c r="I627" s="215"/>
    </row>
    <row r="628" spans="2:9" x14ac:dyDescent="0.3">
      <c r="B628" s="211"/>
      <c r="C628" s="212"/>
      <c r="D628" s="213"/>
      <c r="E628" s="214"/>
      <c r="F628" s="214"/>
      <c r="G628" s="213"/>
      <c r="H628" s="213"/>
      <c r="I628" s="215"/>
    </row>
    <row r="629" spans="2:9" x14ac:dyDescent="0.3">
      <c r="B629" s="211"/>
      <c r="C629" s="212"/>
      <c r="D629" s="213"/>
      <c r="E629" s="214"/>
      <c r="F629" s="214"/>
      <c r="G629" s="213"/>
      <c r="H629" s="213"/>
      <c r="I629" s="215"/>
    </row>
    <row r="630" spans="2:9" x14ac:dyDescent="0.3">
      <c r="B630" s="211"/>
      <c r="C630" s="212"/>
      <c r="D630" s="213"/>
      <c r="E630" s="214"/>
      <c r="F630" s="214"/>
      <c r="G630" s="213"/>
      <c r="H630" s="213"/>
      <c r="I630" s="215"/>
    </row>
    <row r="631" spans="2:9" x14ac:dyDescent="0.3">
      <c r="B631" s="211"/>
      <c r="C631" s="212"/>
      <c r="D631" s="213"/>
      <c r="E631" s="214"/>
      <c r="F631" s="214"/>
      <c r="G631" s="213"/>
      <c r="H631" s="213"/>
      <c r="I631" s="215"/>
    </row>
    <row r="632" spans="2:9" x14ac:dyDescent="0.3">
      <c r="B632" s="211"/>
      <c r="C632" s="212"/>
      <c r="D632" s="213"/>
      <c r="E632" s="214"/>
      <c r="F632" s="214"/>
      <c r="G632" s="213"/>
      <c r="H632" s="213"/>
      <c r="I632" s="215"/>
    </row>
    <row r="633" spans="2:9" x14ac:dyDescent="0.3">
      <c r="B633" s="211"/>
      <c r="C633" s="212"/>
      <c r="D633" s="213"/>
      <c r="E633" s="214"/>
      <c r="F633" s="214"/>
      <c r="G633" s="213"/>
      <c r="H633" s="213"/>
      <c r="I633" s="215"/>
    </row>
    <row r="634" spans="2:9" x14ac:dyDescent="0.3">
      <c r="B634" s="211"/>
      <c r="C634" s="212"/>
      <c r="D634" s="213"/>
      <c r="E634" s="214"/>
      <c r="F634" s="214"/>
      <c r="G634" s="213"/>
      <c r="H634" s="213"/>
      <c r="I634" s="215"/>
    </row>
    <row r="635" spans="2:9" x14ac:dyDescent="0.3">
      <c r="B635" s="211"/>
      <c r="C635" s="212"/>
      <c r="D635" s="213"/>
      <c r="E635" s="214"/>
      <c r="F635" s="214"/>
      <c r="G635" s="213"/>
      <c r="H635" s="213"/>
      <c r="I635" s="215"/>
    </row>
    <row r="636" spans="2:9" x14ac:dyDescent="0.3">
      <c r="B636" s="211"/>
      <c r="C636" s="212"/>
      <c r="D636" s="213"/>
      <c r="E636" s="214"/>
      <c r="F636" s="214"/>
      <c r="G636" s="213"/>
      <c r="H636" s="213"/>
      <c r="I636" s="215"/>
    </row>
    <row r="637" spans="2:9" x14ac:dyDescent="0.3">
      <c r="B637" s="211"/>
      <c r="C637" s="212"/>
      <c r="D637" s="213"/>
      <c r="E637" s="214"/>
      <c r="F637" s="214"/>
      <c r="G637" s="213"/>
      <c r="H637" s="213"/>
      <c r="I637" s="215"/>
    </row>
    <row r="638" spans="2:9" x14ac:dyDescent="0.3">
      <c r="B638" s="211"/>
      <c r="C638" s="212"/>
      <c r="D638" s="213"/>
      <c r="E638" s="214"/>
      <c r="F638" s="214"/>
      <c r="G638" s="213"/>
      <c r="H638" s="213"/>
      <c r="I638" s="215"/>
    </row>
    <row r="639" spans="2:9" x14ac:dyDescent="0.3">
      <c r="B639" s="211"/>
      <c r="C639" s="212"/>
      <c r="D639" s="213"/>
      <c r="E639" s="214"/>
      <c r="F639" s="214"/>
      <c r="G639" s="213"/>
      <c r="H639" s="213"/>
      <c r="I639" s="215"/>
    </row>
    <row r="640" spans="2:9" x14ac:dyDescent="0.3">
      <c r="B640" s="211"/>
      <c r="C640" s="212"/>
      <c r="D640" s="213"/>
      <c r="E640" s="214"/>
      <c r="F640" s="214"/>
      <c r="G640" s="213"/>
      <c r="H640" s="213"/>
      <c r="I640" s="215"/>
    </row>
    <row r="641" spans="2:9" x14ac:dyDescent="0.3">
      <c r="B641" s="211"/>
      <c r="C641" s="212"/>
      <c r="D641" s="213"/>
      <c r="E641" s="214"/>
      <c r="F641" s="214"/>
      <c r="G641" s="213"/>
      <c r="H641" s="213"/>
      <c r="I641" s="215"/>
    </row>
    <row r="642" spans="2:9" x14ac:dyDescent="0.3">
      <c r="B642" s="211"/>
      <c r="C642" s="212"/>
      <c r="D642" s="213"/>
      <c r="E642" s="214"/>
      <c r="F642" s="214"/>
      <c r="G642" s="213"/>
      <c r="H642" s="213"/>
      <c r="I642" s="215"/>
    </row>
    <row r="643" spans="2:9" x14ac:dyDescent="0.3">
      <c r="B643" s="211"/>
      <c r="C643" s="212"/>
      <c r="D643" s="213"/>
      <c r="E643" s="214"/>
      <c r="F643" s="214"/>
      <c r="G643" s="213"/>
      <c r="H643" s="213"/>
      <c r="I643" s="215"/>
    </row>
    <row r="644" spans="2:9" x14ac:dyDescent="0.3">
      <c r="B644" s="211"/>
      <c r="C644" s="212"/>
      <c r="D644" s="213"/>
      <c r="E644" s="214"/>
      <c r="F644" s="214"/>
      <c r="G644" s="213"/>
      <c r="H644" s="213"/>
      <c r="I644" s="215"/>
    </row>
    <row r="645" spans="2:9" x14ac:dyDescent="0.3">
      <c r="B645" s="211"/>
      <c r="C645" s="212"/>
      <c r="D645" s="213"/>
      <c r="E645" s="214"/>
      <c r="F645" s="214"/>
      <c r="G645" s="213"/>
      <c r="H645" s="213"/>
      <c r="I645" s="215"/>
    </row>
    <row r="646" spans="2:9" x14ac:dyDescent="0.3">
      <c r="B646" s="211"/>
      <c r="C646" s="212"/>
      <c r="D646" s="213"/>
      <c r="E646" s="214"/>
      <c r="F646" s="214"/>
      <c r="G646" s="213"/>
      <c r="H646" s="213"/>
      <c r="I646" s="215"/>
    </row>
    <row r="647" spans="2:9" x14ac:dyDescent="0.3">
      <c r="B647" s="211"/>
      <c r="C647" s="212"/>
      <c r="D647" s="213"/>
      <c r="E647" s="214"/>
      <c r="F647" s="214"/>
      <c r="G647" s="213"/>
      <c r="H647" s="213"/>
      <c r="I647" s="215"/>
    </row>
    <row r="648" spans="2:9" x14ac:dyDescent="0.3">
      <c r="B648" s="211"/>
      <c r="C648" s="212"/>
      <c r="D648" s="213"/>
      <c r="E648" s="214"/>
      <c r="F648" s="214"/>
      <c r="G648" s="213"/>
      <c r="H648" s="213"/>
      <c r="I648" s="215"/>
    </row>
    <row r="649" spans="2:9" x14ac:dyDescent="0.3">
      <c r="B649" s="211"/>
      <c r="C649" s="212"/>
      <c r="D649" s="213"/>
      <c r="E649" s="214"/>
      <c r="F649" s="214"/>
      <c r="G649" s="213"/>
      <c r="H649" s="213"/>
      <c r="I649" s="215"/>
    </row>
    <row r="650" spans="2:9" x14ac:dyDescent="0.3">
      <c r="B650" s="211"/>
      <c r="C650" s="212"/>
      <c r="D650" s="213"/>
      <c r="E650" s="214"/>
      <c r="F650" s="214"/>
      <c r="G650" s="213"/>
      <c r="H650" s="213"/>
      <c r="I650" s="215"/>
    </row>
    <row r="651" spans="2:9" x14ac:dyDescent="0.3">
      <c r="B651" s="211"/>
      <c r="C651" s="212"/>
      <c r="D651" s="213"/>
      <c r="E651" s="214"/>
      <c r="F651" s="214"/>
      <c r="G651" s="213"/>
      <c r="H651" s="213"/>
      <c r="I651" s="215"/>
    </row>
    <row r="652" spans="2:9" x14ac:dyDescent="0.3">
      <c r="B652" s="211"/>
      <c r="C652" s="212"/>
      <c r="D652" s="213"/>
      <c r="E652" s="214"/>
      <c r="F652" s="214"/>
      <c r="G652" s="213"/>
      <c r="H652" s="213"/>
      <c r="I652" s="215"/>
    </row>
    <row r="653" spans="2:9" x14ac:dyDescent="0.3">
      <c r="B653" s="211"/>
      <c r="C653" s="212"/>
      <c r="D653" s="213"/>
      <c r="E653" s="214"/>
      <c r="F653" s="214"/>
      <c r="G653" s="213"/>
      <c r="H653" s="213"/>
      <c r="I653" s="215"/>
    </row>
    <row r="654" spans="2:9" x14ac:dyDescent="0.3">
      <c r="B654" s="211"/>
      <c r="C654" s="212"/>
      <c r="D654" s="213"/>
      <c r="E654" s="214"/>
      <c r="F654" s="214"/>
      <c r="G654" s="213"/>
      <c r="H654" s="213"/>
      <c r="I654" s="215"/>
    </row>
    <row r="655" spans="2:9" x14ac:dyDescent="0.3">
      <c r="B655" s="211"/>
      <c r="C655" s="212"/>
      <c r="D655" s="213"/>
      <c r="E655" s="214"/>
      <c r="F655" s="214"/>
      <c r="G655" s="213"/>
      <c r="H655" s="213"/>
      <c r="I655" s="215"/>
    </row>
    <row r="656" spans="2:9" x14ac:dyDescent="0.3">
      <c r="B656" s="211"/>
      <c r="C656" s="212"/>
      <c r="D656" s="213"/>
      <c r="E656" s="214"/>
      <c r="F656" s="214"/>
      <c r="G656" s="213"/>
      <c r="H656" s="213"/>
      <c r="I656" s="215"/>
    </row>
    <row r="657" spans="2:9" x14ac:dyDescent="0.3">
      <c r="B657" s="211"/>
      <c r="C657" s="212"/>
      <c r="D657" s="213"/>
      <c r="E657" s="214"/>
      <c r="F657" s="214"/>
      <c r="G657" s="213"/>
      <c r="H657" s="213"/>
      <c r="I657" s="215"/>
    </row>
    <row r="658" spans="2:9" x14ac:dyDescent="0.3">
      <c r="B658" s="211"/>
      <c r="C658" s="212"/>
      <c r="D658" s="213"/>
      <c r="E658" s="214"/>
      <c r="F658" s="214"/>
      <c r="G658" s="213"/>
      <c r="H658" s="213"/>
      <c r="I658" s="215"/>
    </row>
    <row r="659" spans="2:9" x14ac:dyDescent="0.3">
      <c r="B659" s="211"/>
      <c r="C659" s="212"/>
      <c r="D659" s="213"/>
      <c r="E659" s="214"/>
      <c r="F659" s="214"/>
      <c r="G659" s="213"/>
      <c r="H659" s="213"/>
      <c r="I659" s="215"/>
    </row>
    <row r="660" spans="2:9" x14ac:dyDescent="0.3">
      <c r="B660" s="211"/>
      <c r="C660" s="212"/>
      <c r="D660" s="213"/>
      <c r="E660" s="214"/>
      <c r="F660" s="214"/>
      <c r="G660" s="213"/>
      <c r="H660" s="213"/>
      <c r="I660" s="215"/>
    </row>
    <row r="661" spans="2:9" x14ac:dyDescent="0.3">
      <c r="B661" s="211"/>
      <c r="C661" s="212"/>
      <c r="D661" s="213"/>
      <c r="E661" s="214"/>
      <c r="F661" s="214"/>
      <c r="G661" s="213"/>
      <c r="H661" s="213"/>
      <c r="I661" s="215"/>
    </row>
    <row r="662" spans="2:9" x14ac:dyDescent="0.3">
      <c r="B662" s="213"/>
      <c r="C662" s="212"/>
      <c r="D662" s="213"/>
      <c r="E662" s="213"/>
      <c r="F662" s="213"/>
      <c r="G662" s="216"/>
      <c r="H662" s="216"/>
      <c r="I662" s="217"/>
    </row>
    <row r="672" spans="2:9" ht="17.25" thickBot="1" x14ac:dyDescent="0.35"/>
    <row r="673" spans="3:11" ht="17.25" thickBot="1" x14ac:dyDescent="0.35">
      <c r="C673" s="218"/>
      <c r="D673" s="218"/>
      <c r="E673" s="218"/>
      <c r="F673" s="218"/>
      <c r="G673" s="218"/>
      <c r="H673" s="218"/>
      <c r="I673" s="219"/>
      <c r="J673" s="220"/>
      <c r="K673" s="221"/>
    </row>
    <row r="674" spans="3:11" ht="17.25" thickBot="1" x14ac:dyDescent="0.35">
      <c r="C674" s="222"/>
      <c r="D674" s="222"/>
      <c r="E674" s="222"/>
      <c r="F674" s="222"/>
      <c r="G674" s="222"/>
      <c r="H674" s="222"/>
      <c r="I674" s="223"/>
      <c r="K674" s="224"/>
    </row>
    <row r="675" spans="3:11" ht="17.25" thickBot="1" x14ac:dyDescent="0.35">
      <c r="C675" s="222"/>
      <c r="D675" s="222"/>
      <c r="E675" s="222"/>
      <c r="F675" s="222"/>
      <c r="G675" s="222"/>
      <c r="H675" s="222"/>
      <c r="I675" s="223"/>
      <c r="K675" s="224"/>
    </row>
    <row r="676" spans="3:11" ht="17.25" thickBot="1" x14ac:dyDescent="0.35">
      <c r="C676" s="222"/>
      <c r="D676" s="222"/>
      <c r="E676" s="222"/>
      <c r="F676" s="222"/>
      <c r="G676" s="222"/>
      <c r="H676" s="222"/>
      <c r="I676" s="223"/>
      <c r="K676" s="224"/>
    </row>
    <row r="677" spans="3:11" ht="17.25" thickBot="1" x14ac:dyDescent="0.35">
      <c r="C677" s="222"/>
      <c r="D677" s="222"/>
      <c r="E677" s="222"/>
      <c r="F677" s="222"/>
      <c r="G677" s="222"/>
      <c r="H677" s="222"/>
      <c r="I677" s="223"/>
      <c r="K677" s="224"/>
    </row>
    <row r="678" spans="3:11" ht="17.25" thickBot="1" x14ac:dyDescent="0.35">
      <c r="C678" s="222"/>
      <c r="D678" s="222"/>
      <c r="E678" s="222"/>
      <c r="F678" s="222"/>
      <c r="G678" s="222"/>
      <c r="H678" s="222"/>
      <c r="I678" s="223"/>
      <c r="K678" s="224"/>
    </row>
    <row r="679" spans="3:11" ht="17.25" thickBot="1" x14ac:dyDescent="0.35">
      <c r="C679" s="222"/>
      <c r="D679" s="222"/>
      <c r="E679" s="222"/>
      <c r="F679" s="222"/>
      <c r="G679" s="222"/>
      <c r="H679" s="222"/>
      <c r="I679" s="223"/>
      <c r="K679" s="224"/>
    </row>
    <row r="680" spans="3:11" ht="17.25" thickBot="1" x14ac:dyDescent="0.35">
      <c r="C680" s="222"/>
      <c r="D680" s="222"/>
      <c r="E680" s="222"/>
      <c r="F680" s="222"/>
      <c r="G680" s="222"/>
      <c r="H680" s="222"/>
      <c r="I680" s="223"/>
      <c r="K680" s="224"/>
    </row>
    <row r="681" spans="3:11" ht="17.25" thickBot="1" x14ac:dyDescent="0.35">
      <c r="C681" s="222"/>
      <c r="D681" s="222"/>
      <c r="E681" s="222"/>
      <c r="F681" s="222"/>
      <c r="G681" s="222"/>
      <c r="H681" s="222"/>
      <c r="I681" s="223"/>
      <c r="K681" s="224"/>
    </row>
    <row r="682" spans="3:11" ht="17.25" thickBot="1" x14ac:dyDescent="0.35">
      <c r="C682" s="222"/>
      <c r="D682" s="222"/>
      <c r="E682" s="222"/>
      <c r="F682" s="222"/>
      <c r="G682" s="222"/>
      <c r="H682" s="222"/>
      <c r="I682" s="223"/>
      <c r="K682" s="224"/>
    </row>
    <row r="683" spans="3:11" ht="17.25" thickBot="1" x14ac:dyDescent="0.35">
      <c r="C683" s="222"/>
      <c r="D683" s="222"/>
      <c r="E683" s="222"/>
      <c r="F683" s="222"/>
      <c r="G683" s="222"/>
      <c r="H683" s="222"/>
      <c r="I683" s="223"/>
      <c r="K683" s="224"/>
    </row>
    <row r="684" spans="3:11" ht="17.25" thickBot="1" x14ac:dyDescent="0.35">
      <c r="C684" s="222"/>
      <c r="D684" s="222"/>
      <c r="E684" s="222"/>
      <c r="F684" s="222"/>
      <c r="G684" s="222"/>
      <c r="H684" s="222"/>
      <c r="I684" s="223"/>
      <c r="K684" s="224"/>
    </row>
    <row r="685" spans="3:11" ht="17.25" thickBot="1" x14ac:dyDescent="0.35">
      <c r="C685" s="222"/>
      <c r="D685" s="222"/>
      <c r="E685" s="222"/>
      <c r="F685" s="222"/>
      <c r="G685" s="222"/>
      <c r="H685" s="222"/>
      <c r="I685" s="223"/>
      <c r="K685" s="224"/>
    </row>
    <row r="686" spans="3:11" ht="17.25" thickBot="1" x14ac:dyDescent="0.35">
      <c r="C686" s="222"/>
      <c r="D686" s="222"/>
      <c r="E686" s="222"/>
      <c r="F686" s="222"/>
      <c r="G686" s="222"/>
      <c r="H686" s="222"/>
      <c r="I686" s="223"/>
      <c r="K686" s="224"/>
    </row>
    <row r="687" spans="3:11" ht="17.25" thickBot="1" x14ac:dyDescent="0.35">
      <c r="C687" s="222"/>
      <c r="D687" s="222"/>
      <c r="E687" s="222"/>
      <c r="F687" s="222"/>
      <c r="G687" s="222"/>
      <c r="H687" s="222"/>
      <c r="I687" s="223"/>
      <c r="K687" s="224"/>
    </row>
    <row r="688" spans="3:11" ht="17.25" thickBot="1" x14ac:dyDescent="0.35">
      <c r="C688" s="222"/>
      <c r="D688" s="222"/>
      <c r="E688" s="222"/>
      <c r="F688" s="222"/>
      <c r="G688" s="222"/>
      <c r="H688" s="222"/>
      <c r="I688" s="223"/>
      <c r="K688" s="224"/>
    </row>
    <row r="689" spans="3:11" ht="17.25" thickBot="1" x14ac:dyDescent="0.35">
      <c r="C689" s="222"/>
      <c r="D689" s="222"/>
      <c r="E689" s="222"/>
      <c r="F689" s="222"/>
      <c r="G689" s="222"/>
      <c r="H689" s="222"/>
      <c r="I689" s="223"/>
      <c r="K689" s="224"/>
    </row>
    <row r="690" spans="3:11" ht="17.25" thickBot="1" x14ac:dyDescent="0.35">
      <c r="C690" s="222"/>
      <c r="D690" s="222"/>
      <c r="E690" s="222"/>
      <c r="F690" s="222"/>
      <c r="G690" s="222"/>
      <c r="H690" s="222"/>
      <c r="I690" s="223"/>
      <c r="K690" s="224"/>
    </row>
    <row r="691" spans="3:11" ht="17.25" thickBot="1" x14ac:dyDescent="0.35">
      <c r="C691" s="222"/>
      <c r="D691" s="222"/>
      <c r="E691" s="222"/>
      <c r="F691" s="222"/>
      <c r="G691" s="222"/>
      <c r="H691" s="222"/>
      <c r="I691" s="223"/>
      <c r="K691" s="224"/>
    </row>
    <row r="692" spans="3:11" ht="17.25" thickBot="1" x14ac:dyDescent="0.35">
      <c r="C692" s="222"/>
      <c r="D692" s="222"/>
      <c r="E692" s="222"/>
      <c r="F692" s="222"/>
      <c r="G692" s="222"/>
      <c r="H692" s="222"/>
      <c r="I692" s="223"/>
      <c r="K692" s="224"/>
    </row>
    <row r="693" spans="3:11" ht="17.25" thickBot="1" x14ac:dyDescent="0.35">
      <c r="C693" s="222"/>
      <c r="D693" s="222"/>
      <c r="E693" s="222"/>
      <c r="F693" s="222"/>
      <c r="G693" s="222"/>
      <c r="H693" s="222"/>
      <c r="I693" s="223"/>
      <c r="K693" s="224"/>
    </row>
    <row r="694" spans="3:11" ht="17.25" thickBot="1" x14ac:dyDescent="0.35">
      <c r="C694" s="222"/>
      <c r="D694" s="222"/>
      <c r="E694" s="222"/>
      <c r="F694" s="222"/>
      <c r="G694" s="222"/>
      <c r="H694" s="222"/>
      <c r="I694" s="223"/>
      <c r="K694" s="224"/>
    </row>
    <row r="695" spans="3:11" ht="17.25" thickBot="1" x14ac:dyDescent="0.35">
      <c r="C695" s="222"/>
      <c r="D695" s="222"/>
      <c r="E695" s="222"/>
      <c r="F695" s="222"/>
      <c r="G695" s="222"/>
      <c r="H695" s="222"/>
      <c r="I695" s="223"/>
      <c r="K695" s="224"/>
    </row>
    <row r="696" spans="3:11" ht="17.25" thickBot="1" x14ac:dyDescent="0.35">
      <c r="C696" s="222"/>
      <c r="D696" s="222"/>
      <c r="E696" s="222"/>
      <c r="F696" s="222"/>
      <c r="G696" s="222"/>
      <c r="H696" s="222"/>
      <c r="I696" s="223"/>
      <c r="K696" s="224"/>
    </row>
    <row r="697" spans="3:11" ht="17.25" thickBot="1" x14ac:dyDescent="0.35">
      <c r="C697" s="222"/>
      <c r="D697" s="222"/>
      <c r="E697" s="222"/>
      <c r="F697" s="222"/>
      <c r="G697" s="222"/>
      <c r="H697" s="222"/>
      <c r="I697" s="223"/>
      <c r="K697" s="224"/>
    </row>
    <row r="698" spans="3:11" ht="17.25" thickBot="1" x14ac:dyDescent="0.35">
      <c r="C698" s="222"/>
      <c r="D698" s="222"/>
      <c r="E698" s="222"/>
      <c r="F698" s="222"/>
      <c r="G698" s="222"/>
      <c r="H698" s="222"/>
      <c r="I698" s="223"/>
      <c r="K698" s="224"/>
    </row>
    <row r="699" spans="3:11" ht="17.25" thickBot="1" x14ac:dyDescent="0.35">
      <c r="C699" s="222"/>
      <c r="D699" s="222"/>
      <c r="E699" s="222"/>
      <c r="F699" s="222"/>
      <c r="G699" s="222"/>
      <c r="H699" s="222"/>
      <c r="I699" s="223"/>
      <c r="K699" s="224"/>
    </row>
    <row r="700" spans="3:11" ht="17.25" thickBot="1" x14ac:dyDescent="0.35">
      <c r="C700" s="222"/>
      <c r="D700" s="222"/>
      <c r="E700" s="222"/>
      <c r="F700" s="222"/>
      <c r="G700" s="222"/>
      <c r="H700" s="222"/>
      <c r="I700" s="223"/>
      <c r="K700" s="224"/>
    </row>
    <row r="701" spans="3:11" ht="17.25" thickBot="1" x14ac:dyDescent="0.35">
      <c r="C701" s="222"/>
      <c r="D701" s="222"/>
      <c r="E701" s="222"/>
      <c r="F701" s="222"/>
      <c r="G701" s="222"/>
      <c r="H701" s="222"/>
      <c r="I701" s="223"/>
      <c r="K701" s="224"/>
    </row>
    <row r="702" spans="3:11" ht="17.25" thickBot="1" x14ac:dyDescent="0.35">
      <c r="C702" s="222"/>
      <c r="D702" s="222"/>
      <c r="E702" s="222"/>
      <c r="F702" s="222"/>
      <c r="G702" s="222"/>
      <c r="H702" s="222"/>
      <c r="I702" s="223"/>
      <c r="K702" s="224"/>
    </row>
    <row r="703" spans="3:11" ht="17.25" thickBot="1" x14ac:dyDescent="0.35">
      <c r="C703" s="222"/>
      <c r="D703" s="222"/>
      <c r="E703" s="222"/>
      <c r="F703" s="222"/>
      <c r="G703" s="222"/>
      <c r="H703" s="222"/>
      <c r="I703" s="223"/>
      <c r="K703" s="224"/>
    </row>
    <row r="704" spans="3:11" ht="17.25" thickBot="1" x14ac:dyDescent="0.35">
      <c r="C704" s="222"/>
      <c r="D704" s="222"/>
      <c r="E704" s="222"/>
      <c r="F704" s="222"/>
      <c r="G704" s="222"/>
      <c r="H704" s="222"/>
      <c r="I704" s="223"/>
      <c r="K704" s="224"/>
    </row>
    <row r="705" spans="3:11" ht="17.25" thickBot="1" x14ac:dyDescent="0.35">
      <c r="C705" s="222"/>
      <c r="D705" s="222"/>
      <c r="E705" s="222"/>
      <c r="F705" s="222"/>
      <c r="G705" s="222"/>
      <c r="H705" s="222"/>
      <c r="I705" s="223"/>
      <c r="K705" s="224"/>
    </row>
    <row r="706" spans="3:11" ht="17.25" thickBot="1" x14ac:dyDescent="0.35">
      <c r="C706" s="222"/>
      <c r="D706" s="222"/>
      <c r="E706" s="222"/>
      <c r="F706" s="222"/>
      <c r="G706" s="222"/>
      <c r="H706" s="222"/>
      <c r="I706" s="223"/>
      <c r="K706" s="224"/>
    </row>
    <row r="707" spans="3:11" ht="17.25" thickBot="1" x14ac:dyDescent="0.35">
      <c r="C707" s="222"/>
      <c r="D707" s="222"/>
      <c r="E707" s="222"/>
      <c r="F707" s="222"/>
      <c r="G707" s="222"/>
      <c r="H707" s="222"/>
      <c r="I707" s="223"/>
      <c r="K707" s="224"/>
    </row>
    <row r="708" spans="3:11" ht="17.25" thickBot="1" x14ac:dyDescent="0.35">
      <c r="C708" s="222"/>
      <c r="D708" s="222"/>
      <c r="E708" s="222"/>
      <c r="F708" s="222"/>
      <c r="G708" s="222"/>
      <c r="H708" s="222"/>
      <c r="I708" s="225"/>
      <c r="J708" s="226"/>
      <c r="K708" s="227"/>
    </row>
    <row r="709" spans="3:11" ht="17.25" thickBot="1" x14ac:dyDescent="0.35">
      <c r="C709" s="228"/>
      <c r="D709" s="229"/>
      <c r="E709" s="226"/>
      <c r="F709" s="226"/>
      <c r="G709" s="230"/>
      <c r="H709" s="226"/>
      <c r="I709" s="226"/>
      <c r="J709" s="226"/>
      <c r="K709" s="227"/>
    </row>
    <row r="711" spans="3:11" ht="17.25" thickBot="1" x14ac:dyDescent="0.35"/>
    <row r="712" spans="3:11" ht="17.25" thickBot="1" x14ac:dyDescent="0.35">
      <c r="C712" s="231"/>
      <c r="D712" s="231"/>
      <c r="E712" s="231"/>
      <c r="F712" s="231"/>
      <c r="G712" s="231"/>
      <c r="H712" s="231"/>
      <c r="I712" s="232"/>
    </row>
    <row r="713" spans="3:11" ht="17.25" thickBot="1" x14ac:dyDescent="0.35">
      <c r="C713" s="233"/>
      <c r="D713" s="233"/>
      <c r="E713" s="233"/>
      <c r="F713" s="233"/>
      <c r="G713" s="233"/>
      <c r="H713" s="233"/>
      <c r="I713" s="234"/>
    </row>
    <row r="714" spans="3:11" ht="17.25" thickBot="1" x14ac:dyDescent="0.35">
      <c r="C714" s="233"/>
      <c r="D714" s="233"/>
      <c r="E714" s="233"/>
      <c r="F714" s="233"/>
      <c r="G714" s="233"/>
      <c r="H714" s="233"/>
      <c r="I714" s="234"/>
    </row>
    <row r="715" spans="3:11" ht="17.25" thickBot="1" x14ac:dyDescent="0.35">
      <c r="C715" s="233"/>
      <c r="D715" s="233"/>
      <c r="E715" s="233"/>
      <c r="F715" s="233"/>
      <c r="G715" s="233"/>
      <c r="H715" s="233"/>
      <c r="I715" s="234"/>
    </row>
    <row r="716" spans="3:11" ht="17.25" thickBot="1" x14ac:dyDescent="0.35">
      <c r="C716" s="233"/>
      <c r="D716" s="233"/>
      <c r="E716" s="233"/>
      <c r="F716" s="233"/>
      <c r="G716" s="233"/>
      <c r="H716" s="233"/>
      <c r="I716" s="234"/>
    </row>
    <row r="717" spans="3:11" ht="17.25" thickBot="1" x14ac:dyDescent="0.35">
      <c r="C717" s="233"/>
      <c r="D717" s="233"/>
      <c r="E717" s="233"/>
      <c r="F717" s="233"/>
      <c r="G717" s="233"/>
      <c r="H717" s="233"/>
      <c r="I717" s="234"/>
    </row>
    <row r="718" spans="3:11" ht="17.25" thickBot="1" x14ac:dyDescent="0.35">
      <c r="C718" s="233"/>
      <c r="D718" s="233"/>
      <c r="E718" s="233"/>
      <c r="F718" s="233"/>
      <c r="G718" s="233"/>
      <c r="H718" s="233"/>
      <c r="I718" s="234"/>
    </row>
    <row r="719" spans="3:11" ht="17.25" thickBot="1" x14ac:dyDescent="0.35">
      <c r="C719" s="233"/>
      <c r="D719" s="233"/>
      <c r="E719" s="233"/>
      <c r="F719" s="233"/>
      <c r="G719" s="233"/>
      <c r="H719" s="233"/>
      <c r="I719" s="234"/>
    </row>
    <row r="720" spans="3:11" ht="17.25" thickBot="1" x14ac:dyDescent="0.35">
      <c r="C720" s="233"/>
      <c r="D720" s="233"/>
      <c r="E720" s="233"/>
      <c r="F720" s="233"/>
      <c r="G720" s="233"/>
      <c r="H720" s="233"/>
      <c r="I720" s="234"/>
    </row>
    <row r="721" spans="3:9" ht="17.25" thickBot="1" x14ac:dyDescent="0.35">
      <c r="C721" s="233"/>
      <c r="D721" s="233"/>
      <c r="E721" s="233"/>
      <c r="F721" s="233"/>
      <c r="G721" s="233"/>
      <c r="H721" s="233"/>
      <c r="I721" s="234"/>
    </row>
    <row r="722" spans="3:9" ht="17.25" thickBot="1" x14ac:dyDescent="0.35">
      <c r="C722" s="233"/>
      <c r="D722" s="233"/>
      <c r="E722" s="233"/>
      <c r="F722" s="233"/>
      <c r="G722" s="233"/>
      <c r="H722" s="233"/>
      <c r="I722" s="234"/>
    </row>
    <row r="723" spans="3:9" ht="17.25" thickBot="1" x14ac:dyDescent="0.35">
      <c r="C723" s="233"/>
      <c r="D723" s="233"/>
      <c r="E723" s="233"/>
      <c r="F723" s="233"/>
      <c r="G723" s="233"/>
      <c r="H723" s="233"/>
      <c r="I723" s="234"/>
    </row>
    <row r="724" spans="3:9" ht="17.25" thickBot="1" x14ac:dyDescent="0.35">
      <c r="C724" s="233"/>
      <c r="D724" s="233"/>
      <c r="E724" s="233"/>
      <c r="F724" s="233"/>
      <c r="G724" s="233"/>
      <c r="H724" s="233"/>
      <c r="I724" s="234"/>
    </row>
    <row r="725" spans="3:9" ht="17.25" thickBot="1" x14ac:dyDescent="0.35">
      <c r="C725" s="233"/>
      <c r="D725" s="233"/>
      <c r="E725" s="233"/>
      <c r="F725" s="233"/>
      <c r="G725" s="233"/>
      <c r="H725" s="233"/>
      <c r="I725" s="234"/>
    </row>
    <row r="726" spans="3:9" ht="17.25" thickBot="1" x14ac:dyDescent="0.35">
      <c r="C726" s="233"/>
      <c r="D726" s="233"/>
      <c r="E726" s="233"/>
      <c r="F726" s="233"/>
      <c r="G726" s="233"/>
      <c r="H726" s="233"/>
      <c r="I726" s="234"/>
    </row>
    <row r="727" spans="3:9" ht="17.25" thickBot="1" x14ac:dyDescent="0.35">
      <c r="C727" s="233"/>
      <c r="D727" s="233"/>
      <c r="E727" s="233"/>
      <c r="F727" s="233"/>
      <c r="G727" s="233"/>
      <c r="H727" s="233"/>
      <c r="I727" s="234"/>
    </row>
    <row r="728" spans="3:9" ht="17.25" thickBot="1" x14ac:dyDescent="0.35">
      <c r="C728" s="233"/>
      <c r="D728" s="233"/>
      <c r="E728" s="233"/>
      <c r="F728" s="233"/>
      <c r="G728" s="233"/>
      <c r="H728" s="233"/>
      <c r="I728" s="234"/>
    </row>
    <row r="729" spans="3:9" ht="17.25" thickBot="1" x14ac:dyDescent="0.35">
      <c r="C729" s="233"/>
      <c r="D729" s="233"/>
      <c r="E729" s="233"/>
      <c r="F729" s="233"/>
      <c r="G729" s="233"/>
      <c r="H729" s="233"/>
      <c r="I729" s="234"/>
    </row>
    <row r="730" spans="3:9" ht="17.25" thickBot="1" x14ac:dyDescent="0.35">
      <c r="C730" s="233"/>
      <c r="D730" s="233"/>
      <c r="E730" s="233"/>
      <c r="F730" s="233"/>
      <c r="G730" s="233"/>
      <c r="H730" s="233"/>
      <c r="I730" s="234"/>
    </row>
    <row r="731" spans="3:9" ht="17.25" thickBot="1" x14ac:dyDescent="0.35">
      <c r="C731" s="233"/>
      <c r="D731" s="233"/>
      <c r="E731" s="233"/>
      <c r="F731" s="233"/>
      <c r="G731" s="233"/>
      <c r="H731" s="233"/>
      <c r="I731" s="234"/>
    </row>
    <row r="732" spans="3:9" ht="17.25" thickBot="1" x14ac:dyDescent="0.35">
      <c r="C732" s="233"/>
      <c r="D732" s="233"/>
      <c r="E732" s="233"/>
      <c r="F732" s="233"/>
      <c r="G732" s="233"/>
      <c r="H732" s="233"/>
      <c r="I732" s="234"/>
    </row>
    <row r="733" spans="3:9" ht="17.25" thickBot="1" x14ac:dyDescent="0.35">
      <c r="C733" s="233"/>
      <c r="D733" s="233"/>
      <c r="E733" s="233"/>
      <c r="F733" s="233"/>
      <c r="G733" s="233"/>
      <c r="H733" s="233"/>
      <c r="I733" s="234"/>
    </row>
    <row r="734" spans="3:9" ht="17.25" thickBot="1" x14ac:dyDescent="0.35">
      <c r="C734" s="233"/>
      <c r="D734" s="233"/>
      <c r="E734" s="233"/>
      <c r="F734" s="233"/>
      <c r="G734" s="233"/>
      <c r="H734" s="233"/>
      <c r="I734" s="234"/>
    </row>
    <row r="735" spans="3:9" ht="17.25" thickBot="1" x14ac:dyDescent="0.35">
      <c r="C735" s="233"/>
      <c r="D735" s="233"/>
      <c r="E735" s="233"/>
      <c r="F735" s="233"/>
      <c r="G735" s="233"/>
      <c r="H735" s="233"/>
      <c r="I735" s="234"/>
    </row>
    <row r="736" spans="3:9" ht="17.25" thickBot="1" x14ac:dyDescent="0.35">
      <c r="C736" s="233"/>
      <c r="D736" s="233"/>
      <c r="E736" s="233"/>
      <c r="F736" s="233"/>
      <c r="G736" s="233"/>
      <c r="H736" s="233"/>
      <c r="I736" s="234"/>
    </row>
    <row r="737" spans="3:9" ht="17.25" thickBot="1" x14ac:dyDescent="0.35">
      <c r="C737" s="233"/>
      <c r="D737" s="233"/>
      <c r="E737" s="233"/>
      <c r="F737" s="233"/>
      <c r="G737" s="233"/>
      <c r="H737" s="233"/>
      <c r="I737" s="234"/>
    </row>
    <row r="738" spans="3:9" ht="17.25" thickBot="1" x14ac:dyDescent="0.35">
      <c r="C738" s="233"/>
      <c r="D738" s="233"/>
      <c r="E738" s="233"/>
      <c r="F738" s="233"/>
      <c r="G738" s="233"/>
      <c r="H738" s="233"/>
      <c r="I738" s="234"/>
    </row>
    <row r="739" spans="3:9" ht="17.25" thickBot="1" x14ac:dyDescent="0.35">
      <c r="C739" s="233"/>
      <c r="D739" s="233"/>
      <c r="E739" s="233"/>
      <c r="F739" s="233"/>
      <c r="G739" s="233"/>
      <c r="H739" s="233"/>
      <c r="I739" s="234"/>
    </row>
    <row r="740" spans="3:9" ht="17.25" thickBot="1" x14ac:dyDescent="0.35">
      <c r="C740" s="233"/>
      <c r="D740" s="233"/>
      <c r="E740" s="233"/>
      <c r="F740" s="233"/>
      <c r="G740" s="233"/>
      <c r="H740" s="233"/>
      <c r="I740" s="234"/>
    </row>
    <row r="741" spans="3:9" ht="17.25" thickBot="1" x14ac:dyDescent="0.35">
      <c r="C741" s="233"/>
      <c r="D741" s="233"/>
      <c r="E741" s="233"/>
      <c r="F741" s="233"/>
      <c r="G741" s="233"/>
      <c r="H741" s="233"/>
      <c r="I741" s="234"/>
    </row>
    <row r="742" spans="3:9" ht="17.25" thickBot="1" x14ac:dyDescent="0.35">
      <c r="C742" s="233"/>
      <c r="D742" s="233"/>
      <c r="E742" s="233"/>
      <c r="F742" s="233"/>
      <c r="G742" s="233"/>
      <c r="H742" s="233"/>
      <c r="I742" s="234"/>
    </row>
    <row r="743" spans="3:9" ht="17.25" thickBot="1" x14ac:dyDescent="0.35">
      <c r="C743" s="233"/>
      <c r="D743" s="233"/>
      <c r="E743" s="233"/>
      <c r="F743" s="233"/>
      <c r="G743" s="233"/>
      <c r="H743" s="233"/>
      <c r="I743" s="234"/>
    </row>
    <row r="744" spans="3:9" ht="17.25" thickBot="1" x14ac:dyDescent="0.35">
      <c r="C744" s="233"/>
      <c r="D744" s="233"/>
      <c r="E744" s="233"/>
      <c r="F744" s="233"/>
      <c r="G744" s="233"/>
      <c r="H744" s="233"/>
      <c r="I744" s="234"/>
    </row>
    <row r="745" spans="3:9" ht="17.25" thickBot="1" x14ac:dyDescent="0.35">
      <c r="C745" s="233"/>
      <c r="D745" s="233"/>
      <c r="E745" s="233"/>
      <c r="F745" s="233"/>
      <c r="G745" s="233"/>
      <c r="H745" s="233"/>
      <c r="I745" s="234"/>
    </row>
    <row r="746" spans="3:9" ht="17.25" thickBot="1" x14ac:dyDescent="0.35">
      <c r="C746" s="233"/>
      <c r="D746" s="233"/>
      <c r="E746" s="233"/>
      <c r="F746" s="233"/>
      <c r="G746" s="233"/>
      <c r="H746" s="233"/>
      <c r="I746" s="234"/>
    </row>
    <row r="747" spans="3:9" ht="17.25" thickBot="1" x14ac:dyDescent="0.35">
      <c r="C747" s="233"/>
      <c r="D747" s="233"/>
      <c r="E747" s="233"/>
      <c r="F747" s="233"/>
      <c r="G747" s="233"/>
      <c r="H747" s="233"/>
      <c r="I747" s="234"/>
    </row>
    <row r="748" spans="3:9" ht="17.25" thickBot="1" x14ac:dyDescent="0.35">
      <c r="C748" s="233"/>
      <c r="D748" s="233"/>
      <c r="E748" s="233"/>
      <c r="F748" s="233"/>
      <c r="G748" s="233"/>
      <c r="H748" s="233"/>
      <c r="I748" s="234"/>
    </row>
    <row r="749" spans="3:9" x14ac:dyDescent="0.3">
      <c r="G749" s="207"/>
    </row>
    <row r="751" spans="3:9" x14ac:dyDescent="0.3">
      <c r="G751" s="207"/>
    </row>
  </sheetData>
  <pageMargins left="0.7" right="0.7" top="0.75" bottom="0.75" header="0.3" footer="0.3"/>
  <pageSetup paperSize="9" orientation="portrait" horizontalDpi="1200" verticalDpi="1200" r:id="rId1"/>
  <tableParts count="1">
    <tablePart r:id="rId2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670962-3481-43E4-B343-E374471DAD48}">
  <sheetPr>
    <tabColor rgb="FF92D050"/>
  </sheetPr>
  <dimension ref="A1:AN30"/>
  <sheetViews>
    <sheetView topLeftCell="M1" workbookViewId="0">
      <selection activeCell="G30" sqref="G30"/>
    </sheetView>
  </sheetViews>
  <sheetFormatPr defaultRowHeight="14.25" x14ac:dyDescent="0.2"/>
  <cols>
    <col min="1" max="1" width="4.25" customWidth="1"/>
    <col min="2" max="2" width="4.75" bestFit="1" customWidth="1"/>
    <col min="3" max="3" width="10.875" bestFit="1" customWidth="1"/>
    <col min="4" max="4" width="7" bestFit="1" customWidth="1"/>
    <col min="5" max="5" width="5.75" bestFit="1" customWidth="1"/>
    <col min="6" max="6" width="11.75" customWidth="1"/>
    <col min="7" max="7" width="10.375" customWidth="1"/>
    <col min="8" max="8" width="10" customWidth="1"/>
    <col min="9" max="9" width="14.625" hidden="1" customWidth="1"/>
    <col min="10" max="10" width="7.75" hidden="1" customWidth="1"/>
    <col min="11" max="11" width="12.625" customWidth="1"/>
    <col min="12" max="12" width="13.375" customWidth="1"/>
    <col min="15" max="15" width="3.625" customWidth="1"/>
    <col min="18" max="18" width="7.75" bestFit="1" customWidth="1"/>
    <col min="20" max="20" width="10.75" customWidth="1"/>
    <col min="21" max="21" width="11.625" customWidth="1"/>
    <col min="22" max="22" width="11.25" customWidth="1"/>
    <col min="23" max="23" width="14.875" hidden="1" customWidth="1"/>
    <col min="24" max="24" width="0" hidden="1" customWidth="1"/>
    <col min="26" max="26" width="11.875" bestFit="1" customWidth="1"/>
    <col min="29" max="29" width="4.875" customWidth="1"/>
    <col min="30" max="30" width="5" bestFit="1" customWidth="1"/>
    <col min="31" max="31" width="11.625" bestFit="1" customWidth="1"/>
    <col min="32" max="32" width="8.25" bestFit="1" customWidth="1"/>
    <col min="34" max="34" width="12.375" customWidth="1"/>
    <col min="35" max="35" width="12.75" customWidth="1"/>
    <col min="36" max="36" width="11.75" customWidth="1"/>
    <col min="37" max="37" width="15.375" hidden="1" customWidth="1"/>
    <col min="38" max="38" width="0" hidden="1" customWidth="1"/>
    <col min="40" max="40" width="13.125" bestFit="1" customWidth="1"/>
  </cols>
  <sheetData>
    <row r="1" spans="1:40" ht="66" x14ac:dyDescent="0.2">
      <c r="A1" s="235" t="s">
        <v>33</v>
      </c>
      <c r="B1" s="235" t="s">
        <v>65</v>
      </c>
      <c r="C1" s="235" t="s">
        <v>62</v>
      </c>
      <c r="D1" s="235" t="s">
        <v>272</v>
      </c>
      <c r="E1" s="235" t="s">
        <v>233</v>
      </c>
      <c r="F1" s="235" t="s">
        <v>246</v>
      </c>
      <c r="G1" s="235" t="s">
        <v>160</v>
      </c>
      <c r="H1" s="235" t="s">
        <v>268</v>
      </c>
      <c r="I1" s="235" t="s">
        <v>234</v>
      </c>
      <c r="J1" s="235" t="s">
        <v>257</v>
      </c>
      <c r="K1" s="130" t="s">
        <v>175</v>
      </c>
      <c r="L1" s="129" t="s">
        <v>63</v>
      </c>
      <c r="O1" s="235" t="s">
        <v>33</v>
      </c>
      <c r="P1" s="235" t="s">
        <v>65</v>
      </c>
      <c r="Q1" s="235" t="s">
        <v>62</v>
      </c>
      <c r="R1" s="235" t="s">
        <v>235</v>
      </c>
      <c r="S1" s="235" t="s">
        <v>233</v>
      </c>
      <c r="T1" s="235" t="s">
        <v>246</v>
      </c>
      <c r="U1" s="235" t="s">
        <v>160</v>
      </c>
      <c r="V1" s="235" t="s">
        <v>268</v>
      </c>
      <c r="W1" s="235" t="s">
        <v>234</v>
      </c>
      <c r="X1" s="235" t="s">
        <v>257</v>
      </c>
      <c r="Y1" s="130" t="s">
        <v>175</v>
      </c>
      <c r="Z1" s="129" t="s">
        <v>63</v>
      </c>
      <c r="AC1" s="235" t="s">
        <v>33</v>
      </c>
      <c r="AD1" s="235" t="s">
        <v>65</v>
      </c>
      <c r="AE1" s="235" t="s">
        <v>62</v>
      </c>
      <c r="AF1" s="235" t="s">
        <v>273</v>
      </c>
      <c r="AG1" s="235" t="s">
        <v>233</v>
      </c>
      <c r="AH1" s="235" t="s">
        <v>246</v>
      </c>
      <c r="AI1" s="235" t="s">
        <v>160</v>
      </c>
      <c r="AJ1" s="235" t="s">
        <v>212</v>
      </c>
      <c r="AK1" s="235" t="s">
        <v>234</v>
      </c>
      <c r="AL1" s="235" t="s">
        <v>257</v>
      </c>
      <c r="AM1" s="130" t="s">
        <v>175</v>
      </c>
      <c r="AN1" s="129" t="s">
        <v>63</v>
      </c>
    </row>
    <row r="2" spans="1:40" ht="16.5" x14ac:dyDescent="0.3">
      <c r="A2" s="148">
        <v>1</v>
      </c>
      <c r="B2" s="148" t="s">
        <v>34</v>
      </c>
      <c r="C2" s="149" t="s">
        <v>215</v>
      </c>
      <c r="D2" s="150">
        <v>304</v>
      </c>
      <c r="E2" s="150" t="s">
        <v>254</v>
      </c>
      <c r="F2" s="241">
        <v>66.650000000000006</v>
      </c>
      <c r="G2" s="241">
        <v>717.42060000000004</v>
      </c>
      <c r="H2" s="242">
        <v>789.16266000000007</v>
      </c>
      <c r="I2" s="150" t="s">
        <v>211</v>
      </c>
      <c r="J2" s="242" t="s">
        <v>167</v>
      </c>
      <c r="K2" s="131">
        <v>24500</v>
      </c>
      <c r="L2" s="132">
        <f>ROUND(G2*K2,0)</f>
        <v>17576805</v>
      </c>
      <c r="O2" s="236">
        <v>1</v>
      </c>
      <c r="P2" s="236" t="s">
        <v>156</v>
      </c>
      <c r="Q2" s="237" t="s">
        <v>31</v>
      </c>
      <c r="R2" s="238">
        <v>3</v>
      </c>
      <c r="S2" s="238" t="s">
        <v>156</v>
      </c>
      <c r="T2" s="239">
        <v>12.85</v>
      </c>
      <c r="U2" s="239">
        <v>138.31739999999999</v>
      </c>
      <c r="V2" s="240">
        <v>152.14914000000002</v>
      </c>
      <c r="W2" s="243" t="s">
        <v>167</v>
      </c>
      <c r="X2" s="250" t="s">
        <v>261</v>
      </c>
      <c r="Y2" s="131">
        <v>38000</v>
      </c>
      <c r="Z2" s="132">
        <f>ROUND(U2*Y2,0)</f>
        <v>5256061</v>
      </c>
      <c r="AC2" s="236">
        <v>1</v>
      </c>
      <c r="AD2" s="236" t="s">
        <v>157</v>
      </c>
      <c r="AE2" s="237" t="s">
        <v>248</v>
      </c>
      <c r="AF2" s="238">
        <v>105</v>
      </c>
      <c r="AG2" s="238" t="s">
        <v>157</v>
      </c>
      <c r="AH2" s="239">
        <v>72.099999999999994</v>
      </c>
      <c r="AI2" s="239">
        <v>776.08439999999985</v>
      </c>
      <c r="AJ2" s="240">
        <v>853.69283999999993</v>
      </c>
      <c r="AK2" s="243" t="s">
        <v>167</v>
      </c>
      <c r="AL2" s="250" t="s">
        <v>167</v>
      </c>
      <c r="AM2" s="131">
        <v>30000</v>
      </c>
      <c r="AN2" s="132">
        <f>ROUND(AI2*AM2,0)</f>
        <v>23282532</v>
      </c>
    </row>
    <row r="3" spans="1:40" ht="16.5" x14ac:dyDescent="0.3">
      <c r="A3" s="236">
        <v>2</v>
      </c>
      <c r="B3" s="236" t="s">
        <v>34</v>
      </c>
      <c r="C3" s="237" t="s">
        <v>221</v>
      </c>
      <c r="D3" s="238">
        <v>904</v>
      </c>
      <c r="E3" s="238" t="s">
        <v>174</v>
      </c>
      <c r="F3" s="239">
        <v>73.91</v>
      </c>
      <c r="G3" s="239">
        <v>795.56723999999997</v>
      </c>
      <c r="H3" s="240">
        <v>875.123964</v>
      </c>
      <c r="I3" s="238" t="s">
        <v>167</v>
      </c>
      <c r="J3" s="240" t="s">
        <v>167</v>
      </c>
      <c r="K3" s="131">
        <v>24500</v>
      </c>
      <c r="L3" s="132">
        <f t="shared" ref="L3:L29" si="0">ROUND(G3*K3,0)</f>
        <v>19491397</v>
      </c>
      <c r="O3" s="148">
        <v>2</v>
      </c>
      <c r="P3" s="148" t="s">
        <v>156</v>
      </c>
      <c r="Q3" s="149" t="s">
        <v>31</v>
      </c>
      <c r="R3" s="150">
        <v>9</v>
      </c>
      <c r="S3" s="150" t="s">
        <v>156</v>
      </c>
      <c r="T3" s="241">
        <v>47.39</v>
      </c>
      <c r="U3" s="241">
        <v>510.10595999999998</v>
      </c>
      <c r="V3" s="242">
        <v>561.11655600000006</v>
      </c>
      <c r="W3" s="244" t="s">
        <v>167</v>
      </c>
      <c r="X3" s="251" t="s">
        <v>261</v>
      </c>
      <c r="Y3" s="131">
        <v>38000</v>
      </c>
      <c r="Z3" s="132">
        <f t="shared" ref="Z3:Z5" si="1">ROUND(U3*Y3,0)</f>
        <v>19384026</v>
      </c>
      <c r="AC3" s="148">
        <v>2</v>
      </c>
      <c r="AD3" s="148" t="s">
        <v>157</v>
      </c>
      <c r="AE3" s="149" t="s">
        <v>248</v>
      </c>
      <c r="AF3" s="150">
        <v>106</v>
      </c>
      <c r="AG3" s="150" t="s">
        <v>157</v>
      </c>
      <c r="AH3" s="241">
        <v>35.450000000000003</v>
      </c>
      <c r="AI3" s="241">
        <v>381.5838</v>
      </c>
      <c r="AJ3" s="242">
        <v>419.74218000000002</v>
      </c>
      <c r="AK3" s="244" t="s">
        <v>167</v>
      </c>
      <c r="AL3" s="251" t="s">
        <v>261</v>
      </c>
      <c r="AM3" s="131">
        <v>30000</v>
      </c>
      <c r="AN3" s="132">
        <f t="shared" ref="AN3:AN16" si="2">ROUND(AI3*AM3,0)</f>
        <v>11447514</v>
      </c>
    </row>
    <row r="4" spans="1:40" ht="16.5" x14ac:dyDescent="0.3">
      <c r="A4" s="148">
        <v>3</v>
      </c>
      <c r="B4" s="148" t="s">
        <v>34</v>
      </c>
      <c r="C4" s="149" t="s">
        <v>223</v>
      </c>
      <c r="D4" s="150">
        <v>1105</v>
      </c>
      <c r="E4" s="150" t="s">
        <v>172</v>
      </c>
      <c r="F4" s="241">
        <v>44.07</v>
      </c>
      <c r="G4" s="241">
        <v>474.36947999999995</v>
      </c>
      <c r="H4" s="242">
        <v>521.80642799999998</v>
      </c>
      <c r="I4" s="244" t="s">
        <v>211</v>
      </c>
      <c r="J4" s="254" t="s">
        <v>167</v>
      </c>
      <c r="K4" s="131">
        <v>24500</v>
      </c>
      <c r="L4" s="132">
        <f t="shared" si="0"/>
        <v>11622052</v>
      </c>
      <c r="O4" s="236">
        <v>3</v>
      </c>
      <c r="P4" s="236" t="s">
        <v>156</v>
      </c>
      <c r="Q4" s="237" t="s">
        <v>31</v>
      </c>
      <c r="R4" s="238">
        <v>10</v>
      </c>
      <c r="S4" s="238" t="s">
        <v>156</v>
      </c>
      <c r="T4" s="239">
        <v>24.2</v>
      </c>
      <c r="U4" s="239">
        <v>260.48879999999997</v>
      </c>
      <c r="V4" s="240">
        <v>286.53767999999997</v>
      </c>
      <c r="W4" s="243" t="s">
        <v>167</v>
      </c>
      <c r="X4" s="250" t="s">
        <v>261</v>
      </c>
      <c r="Y4" s="131">
        <v>38000</v>
      </c>
      <c r="Z4" s="132">
        <f t="shared" si="1"/>
        <v>9898574</v>
      </c>
      <c r="AC4" s="236">
        <v>3</v>
      </c>
      <c r="AD4" s="236" t="s">
        <v>157</v>
      </c>
      <c r="AE4" s="237" t="s">
        <v>248</v>
      </c>
      <c r="AF4" s="238">
        <v>109</v>
      </c>
      <c r="AG4" s="238" t="s">
        <v>157</v>
      </c>
      <c r="AH4" s="239">
        <v>108.75</v>
      </c>
      <c r="AI4" s="239">
        <v>1170.585</v>
      </c>
      <c r="AJ4" s="240">
        <v>1287.6435000000001</v>
      </c>
      <c r="AK4" s="243" t="s">
        <v>167</v>
      </c>
      <c r="AL4" s="250" t="s">
        <v>261</v>
      </c>
      <c r="AM4" s="131">
        <v>30000</v>
      </c>
      <c r="AN4" s="132">
        <f t="shared" si="2"/>
        <v>35117550</v>
      </c>
    </row>
    <row r="5" spans="1:40" ht="16.5" x14ac:dyDescent="0.3">
      <c r="A5" s="236">
        <v>4</v>
      </c>
      <c r="B5" s="236" t="s">
        <v>34</v>
      </c>
      <c r="C5" s="237" t="s">
        <v>225</v>
      </c>
      <c r="D5" s="238">
        <v>1305</v>
      </c>
      <c r="E5" s="238" t="s">
        <v>172</v>
      </c>
      <c r="F5" s="239">
        <v>44.07</v>
      </c>
      <c r="G5" s="239">
        <v>474.36947999999995</v>
      </c>
      <c r="H5" s="240">
        <v>521.80642799999998</v>
      </c>
      <c r="I5" s="243" t="s">
        <v>211</v>
      </c>
      <c r="J5" s="240" t="s">
        <v>167</v>
      </c>
      <c r="K5" s="131">
        <v>24500</v>
      </c>
      <c r="L5" s="132">
        <f t="shared" si="0"/>
        <v>11622052</v>
      </c>
      <c r="O5" s="148">
        <v>4</v>
      </c>
      <c r="P5" s="148" t="s">
        <v>156</v>
      </c>
      <c r="Q5" s="149" t="s">
        <v>31</v>
      </c>
      <c r="R5" s="150">
        <v>17</v>
      </c>
      <c r="S5" s="150" t="s">
        <v>156</v>
      </c>
      <c r="T5" s="241">
        <v>15.86</v>
      </c>
      <c r="U5" s="241">
        <v>170.71704</v>
      </c>
      <c r="V5" s="242">
        <v>187.78874400000001</v>
      </c>
      <c r="W5" s="244" t="s">
        <v>167</v>
      </c>
      <c r="X5" s="251" t="s">
        <v>167</v>
      </c>
      <c r="Y5" s="131">
        <v>38000</v>
      </c>
      <c r="Z5" s="132">
        <f t="shared" si="1"/>
        <v>6487248</v>
      </c>
      <c r="AC5" s="148">
        <v>4</v>
      </c>
      <c r="AD5" s="148" t="s">
        <v>157</v>
      </c>
      <c r="AE5" s="149" t="s">
        <v>250</v>
      </c>
      <c r="AF5" s="150">
        <v>201</v>
      </c>
      <c r="AG5" s="150" t="s">
        <v>157</v>
      </c>
      <c r="AH5" s="241">
        <v>119.45</v>
      </c>
      <c r="AI5" s="241">
        <v>1285.7598</v>
      </c>
      <c r="AJ5" s="242">
        <v>1414.3357800000001</v>
      </c>
      <c r="AK5" s="242" t="s">
        <v>167</v>
      </c>
      <c r="AL5" s="242" t="s">
        <v>167</v>
      </c>
      <c r="AM5" s="131">
        <v>30000</v>
      </c>
      <c r="AN5" s="132">
        <f t="shared" si="2"/>
        <v>38572794</v>
      </c>
    </row>
    <row r="6" spans="1:40" ht="16.5" x14ac:dyDescent="0.3">
      <c r="A6" s="148">
        <v>5</v>
      </c>
      <c r="B6" s="167" t="s">
        <v>34</v>
      </c>
      <c r="C6" s="169" t="s">
        <v>226</v>
      </c>
      <c r="D6" s="168">
        <v>1408</v>
      </c>
      <c r="E6" s="168" t="s">
        <v>172</v>
      </c>
      <c r="F6" s="159">
        <v>54.17</v>
      </c>
      <c r="G6" s="159">
        <v>583.08587999999997</v>
      </c>
      <c r="H6" s="170">
        <v>641.39446800000007</v>
      </c>
      <c r="I6" s="248" t="s">
        <v>211</v>
      </c>
      <c r="J6" s="170" t="s">
        <v>167</v>
      </c>
      <c r="K6" s="131">
        <v>24500</v>
      </c>
      <c r="L6" s="132">
        <f t="shared" si="0"/>
        <v>14285604</v>
      </c>
      <c r="O6" s="264" t="s">
        <v>32</v>
      </c>
      <c r="P6" s="264"/>
      <c r="Q6" s="264"/>
      <c r="R6" s="264"/>
      <c r="S6" s="264"/>
      <c r="T6" s="133">
        <f>SUM(T2:T5)</f>
        <v>100.3</v>
      </c>
      <c r="U6" s="133">
        <f t="shared" ref="U6:V6" si="3">SUM(U2:U5)</f>
        <v>1079.6291999999999</v>
      </c>
      <c r="V6" s="133">
        <f t="shared" si="3"/>
        <v>1187.59212</v>
      </c>
      <c r="W6" s="249"/>
      <c r="X6" s="249"/>
      <c r="Y6" s="249"/>
      <c r="Z6" s="133">
        <f t="shared" ref="Z6" si="4">SUM(Z2:Z5)</f>
        <v>41025909</v>
      </c>
      <c r="AC6" s="236">
        <v>5</v>
      </c>
      <c r="AD6" s="236" t="s">
        <v>157</v>
      </c>
      <c r="AE6" s="237" t="s">
        <v>250</v>
      </c>
      <c r="AF6" s="238">
        <v>208</v>
      </c>
      <c r="AG6" s="238" t="s">
        <v>157</v>
      </c>
      <c r="AH6" s="239">
        <v>35.950000000000003</v>
      </c>
      <c r="AI6" s="239">
        <v>386.9658</v>
      </c>
      <c r="AJ6" s="240">
        <v>425.66238000000004</v>
      </c>
      <c r="AK6" s="240" t="s">
        <v>167</v>
      </c>
      <c r="AL6" s="240" t="s">
        <v>167</v>
      </c>
      <c r="AM6" s="131">
        <v>30000</v>
      </c>
      <c r="AN6" s="132">
        <f t="shared" si="2"/>
        <v>11608974</v>
      </c>
    </row>
    <row r="7" spans="1:40" ht="16.5" x14ac:dyDescent="0.3">
      <c r="A7" s="236">
        <v>6</v>
      </c>
      <c r="B7" s="236" t="s">
        <v>34</v>
      </c>
      <c r="C7" s="237" t="s">
        <v>231</v>
      </c>
      <c r="D7" s="238">
        <v>1903</v>
      </c>
      <c r="E7" s="238" t="s">
        <v>174</v>
      </c>
      <c r="F7" s="239">
        <v>73.91</v>
      </c>
      <c r="G7" s="239">
        <v>795.56723999999997</v>
      </c>
      <c r="H7" s="240">
        <v>875.123964</v>
      </c>
      <c r="I7" s="243" t="s">
        <v>167</v>
      </c>
      <c r="J7" s="240" t="s">
        <v>167</v>
      </c>
      <c r="K7" s="131">
        <v>24500</v>
      </c>
      <c r="L7" s="132">
        <f t="shared" si="0"/>
        <v>19491397</v>
      </c>
      <c r="AC7" s="148">
        <v>6</v>
      </c>
      <c r="AD7" s="148" t="s">
        <v>157</v>
      </c>
      <c r="AE7" s="149" t="s">
        <v>250</v>
      </c>
      <c r="AF7" s="150">
        <v>211</v>
      </c>
      <c r="AG7" s="150" t="s">
        <v>157</v>
      </c>
      <c r="AH7" s="241">
        <v>65.42</v>
      </c>
      <c r="AI7" s="241">
        <v>704.18088</v>
      </c>
      <c r="AJ7" s="242">
        <v>774.59896800000001</v>
      </c>
      <c r="AK7" s="242" t="s">
        <v>167</v>
      </c>
      <c r="AL7" s="242" t="s">
        <v>167</v>
      </c>
      <c r="AM7" s="131">
        <v>30000</v>
      </c>
      <c r="AN7" s="132">
        <f t="shared" si="2"/>
        <v>21125426</v>
      </c>
    </row>
    <row r="8" spans="1:40" ht="16.5" x14ac:dyDescent="0.3">
      <c r="A8" s="148">
        <v>7</v>
      </c>
      <c r="B8" s="148" t="s">
        <v>35</v>
      </c>
      <c r="C8" s="149" t="s">
        <v>213</v>
      </c>
      <c r="D8" s="150">
        <v>102</v>
      </c>
      <c r="E8" s="150" t="s">
        <v>251</v>
      </c>
      <c r="F8" s="241">
        <v>56.33</v>
      </c>
      <c r="G8" s="241">
        <v>606.33611999999994</v>
      </c>
      <c r="H8" s="242">
        <v>666.96973200000002</v>
      </c>
      <c r="I8" s="244" t="s">
        <v>211</v>
      </c>
      <c r="J8" s="242" t="s">
        <v>167</v>
      </c>
      <c r="K8" s="131">
        <v>24500</v>
      </c>
      <c r="L8" s="132">
        <f t="shared" si="0"/>
        <v>14855235</v>
      </c>
      <c r="AC8" s="236">
        <v>7</v>
      </c>
      <c r="AD8" s="236" t="s">
        <v>157</v>
      </c>
      <c r="AE8" s="237" t="s">
        <v>250</v>
      </c>
      <c r="AF8" s="238">
        <v>212</v>
      </c>
      <c r="AG8" s="238" t="s">
        <v>157</v>
      </c>
      <c r="AH8" s="239">
        <v>134.05000000000001</v>
      </c>
      <c r="AI8" s="239">
        <v>1442.9141999999999</v>
      </c>
      <c r="AJ8" s="240">
        <v>1587.20562</v>
      </c>
      <c r="AK8" s="240" t="s">
        <v>167</v>
      </c>
      <c r="AL8" s="240" t="s">
        <v>261</v>
      </c>
      <c r="AM8" s="131">
        <v>30000</v>
      </c>
      <c r="AN8" s="132">
        <f t="shared" si="2"/>
        <v>43287426</v>
      </c>
    </row>
    <row r="9" spans="1:40" ht="16.5" x14ac:dyDescent="0.3">
      <c r="A9" s="236">
        <v>8</v>
      </c>
      <c r="B9" s="236" t="s">
        <v>35</v>
      </c>
      <c r="C9" s="237" t="s">
        <v>213</v>
      </c>
      <c r="D9" s="238">
        <v>105</v>
      </c>
      <c r="E9" s="238" t="s">
        <v>253</v>
      </c>
      <c r="F9" s="239">
        <v>33.44</v>
      </c>
      <c r="G9" s="239">
        <v>359.94815999999997</v>
      </c>
      <c r="H9" s="240">
        <v>395.94297599999999</v>
      </c>
      <c r="I9" s="243" t="s">
        <v>167</v>
      </c>
      <c r="J9" s="240" t="s">
        <v>167</v>
      </c>
      <c r="K9" s="131">
        <v>24500</v>
      </c>
      <c r="L9" s="132">
        <f t="shared" si="0"/>
        <v>8818730</v>
      </c>
      <c r="AC9" s="148">
        <v>8</v>
      </c>
      <c r="AD9" s="148" t="s">
        <v>157</v>
      </c>
      <c r="AE9" s="149" t="s">
        <v>250</v>
      </c>
      <c r="AF9" s="150">
        <v>213</v>
      </c>
      <c r="AG9" s="150" t="s">
        <v>157</v>
      </c>
      <c r="AH9" s="241">
        <v>73.66</v>
      </c>
      <c r="AI9" s="241">
        <v>792.87623999999994</v>
      </c>
      <c r="AJ9" s="242">
        <v>872.16386399999999</v>
      </c>
      <c r="AK9" s="242" t="s">
        <v>167</v>
      </c>
      <c r="AL9" s="242" t="s">
        <v>261</v>
      </c>
      <c r="AM9" s="131">
        <v>30000</v>
      </c>
      <c r="AN9" s="132">
        <f t="shared" si="2"/>
        <v>23786287</v>
      </c>
    </row>
    <row r="10" spans="1:40" ht="16.5" x14ac:dyDescent="0.3">
      <c r="A10" s="148">
        <v>9</v>
      </c>
      <c r="B10" s="148" t="s">
        <v>35</v>
      </c>
      <c r="C10" s="149" t="s">
        <v>214</v>
      </c>
      <c r="D10" s="150">
        <v>205</v>
      </c>
      <c r="E10" s="150" t="s">
        <v>253</v>
      </c>
      <c r="F10" s="247">
        <v>33.44</v>
      </c>
      <c r="G10" s="241">
        <v>359.94815999999997</v>
      </c>
      <c r="H10" s="242">
        <v>395.94297599999999</v>
      </c>
      <c r="I10" s="244" t="s">
        <v>167</v>
      </c>
      <c r="J10" s="242" t="s">
        <v>261</v>
      </c>
      <c r="K10" s="131">
        <v>24500</v>
      </c>
      <c r="L10" s="132">
        <f t="shared" si="0"/>
        <v>8818730</v>
      </c>
      <c r="AC10" s="236">
        <v>9</v>
      </c>
      <c r="AD10" s="236" t="s">
        <v>157</v>
      </c>
      <c r="AE10" s="237" t="s">
        <v>250</v>
      </c>
      <c r="AF10" s="238">
        <v>216</v>
      </c>
      <c r="AG10" s="238" t="s">
        <v>157</v>
      </c>
      <c r="AH10" s="239">
        <v>88.09</v>
      </c>
      <c r="AI10" s="239">
        <v>948.20075999999995</v>
      </c>
      <c r="AJ10" s="240">
        <v>1043.0208359999999</v>
      </c>
      <c r="AK10" s="240" t="s">
        <v>167</v>
      </c>
      <c r="AL10" s="240" t="s">
        <v>261</v>
      </c>
      <c r="AM10" s="131">
        <v>30000</v>
      </c>
      <c r="AN10" s="132">
        <f t="shared" si="2"/>
        <v>28446023</v>
      </c>
    </row>
    <row r="11" spans="1:40" ht="16.5" x14ac:dyDescent="0.3">
      <c r="A11" s="236">
        <v>10</v>
      </c>
      <c r="B11" s="236" t="s">
        <v>35</v>
      </c>
      <c r="C11" s="237" t="s">
        <v>214</v>
      </c>
      <c r="D11" s="238">
        <v>207</v>
      </c>
      <c r="E11" s="238" t="s">
        <v>254</v>
      </c>
      <c r="F11" s="246">
        <v>88.58</v>
      </c>
      <c r="G11" s="239">
        <v>953.47511999999995</v>
      </c>
      <c r="H11" s="240">
        <v>1048.8226320000001</v>
      </c>
      <c r="I11" s="243" t="s">
        <v>167</v>
      </c>
      <c r="J11" s="240" t="s">
        <v>167</v>
      </c>
      <c r="K11" s="131">
        <v>24500</v>
      </c>
      <c r="L11" s="132">
        <f t="shared" si="0"/>
        <v>23360140</v>
      </c>
      <c r="AC11" s="148">
        <v>10</v>
      </c>
      <c r="AD11" s="148" t="s">
        <v>157</v>
      </c>
      <c r="AE11" s="149" t="s">
        <v>250</v>
      </c>
      <c r="AF11" s="150">
        <v>220</v>
      </c>
      <c r="AG11" s="150" t="s">
        <v>157</v>
      </c>
      <c r="AH11" s="241">
        <v>286.22000000000003</v>
      </c>
      <c r="AI11" s="241">
        <v>3080.8720800000001</v>
      </c>
      <c r="AJ11" s="242">
        <v>3388.9592880000005</v>
      </c>
      <c r="AK11" s="242" t="s">
        <v>167</v>
      </c>
      <c r="AL11" s="242" t="s">
        <v>261</v>
      </c>
      <c r="AM11" s="131">
        <v>30000</v>
      </c>
      <c r="AN11" s="132">
        <f t="shared" si="2"/>
        <v>92426162</v>
      </c>
    </row>
    <row r="12" spans="1:40" ht="16.5" x14ac:dyDescent="0.3">
      <c r="A12" s="148">
        <v>11</v>
      </c>
      <c r="B12" s="148" t="s">
        <v>35</v>
      </c>
      <c r="C12" s="149" t="s">
        <v>215</v>
      </c>
      <c r="D12" s="150">
        <v>306</v>
      </c>
      <c r="E12" s="150" t="s">
        <v>253</v>
      </c>
      <c r="F12" s="247">
        <v>33.44</v>
      </c>
      <c r="G12" s="241">
        <v>359.94815999999997</v>
      </c>
      <c r="H12" s="242">
        <v>395.94297599999999</v>
      </c>
      <c r="I12" s="244" t="s">
        <v>167</v>
      </c>
      <c r="J12" s="242" t="s">
        <v>167</v>
      </c>
      <c r="K12" s="131">
        <v>24500</v>
      </c>
      <c r="L12" s="132">
        <f t="shared" si="0"/>
        <v>8818730</v>
      </c>
      <c r="AC12" s="236">
        <v>11</v>
      </c>
      <c r="AD12" s="236" t="s">
        <v>157</v>
      </c>
      <c r="AE12" s="237" t="s">
        <v>250</v>
      </c>
      <c r="AF12" s="238">
        <v>221</v>
      </c>
      <c r="AG12" s="238" t="s">
        <v>157</v>
      </c>
      <c r="AH12" s="239">
        <v>283.49</v>
      </c>
      <c r="AI12" s="239">
        <v>3051.4863599999999</v>
      </c>
      <c r="AJ12" s="240">
        <v>3356.6349960000002</v>
      </c>
      <c r="AK12" s="240" t="s">
        <v>167</v>
      </c>
      <c r="AL12" s="240" t="s">
        <v>261</v>
      </c>
      <c r="AM12" s="131">
        <v>30000</v>
      </c>
      <c r="AN12" s="132">
        <f t="shared" si="2"/>
        <v>91544591</v>
      </c>
    </row>
    <row r="13" spans="1:40" ht="16.5" x14ac:dyDescent="0.3">
      <c r="A13" s="236">
        <v>12</v>
      </c>
      <c r="B13" s="236" t="s">
        <v>35</v>
      </c>
      <c r="C13" s="237" t="s">
        <v>215</v>
      </c>
      <c r="D13" s="238">
        <v>308</v>
      </c>
      <c r="E13" s="238" t="s">
        <v>254</v>
      </c>
      <c r="F13" s="246">
        <v>88.58</v>
      </c>
      <c r="G13" s="239">
        <v>953.47511999999995</v>
      </c>
      <c r="H13" s="240">
        <v>1048.8226320000001</v>
      </c>
      <c r="I13" s="243" t="s">
        <v>167</v>
      </c>
      <c r="J13" s="240" t="s">
        <v>167</v>
      </c>
      <c r="K13" s="131">
        <v>24500</v>
      </c>
      <c r="L13" s="132">
        <f t="shared" si="0"/>
        <v>23360140</v>
      </c>
      <c r="AC13" s="148">
        <v>12</v>
      </c>
      <c r="AD13" s="148" t="s">
        <v>157</v>
      </c>
      <c r="AE13" s="149" t="s">
        <v>250</v>
      </c>
      <c r="AF13" s="150">
        <v>222</v>
      </c>
      <c r="AG13" s="150" t="s">
        <v>157</v>
      </c>
      <c r="AH13" s="241">
        <v>27.55</v>
      </c>
      <c r="AI13" s="241">
        <v>296.54820000000001</v>
      </c>
      <c r="AJ13" s="242">
        <v>326.20302000000004</v>
      </c>
      <c r="AK13" s="242" t="s">
        <v>167</v>
      </c>
      <c r="AL13" s="242" t="s">
        <v>261</v>
      </c>
      <c r="AM13" s="131">
        <v>30000</v>
      </c>
      <c r="AN13" s="132">
        <f t="shared" si="2"/>
        <v>8896446</v>
      </c>
    </row>
    <row r="14" spans="1:40" ht="16.5" x14ac:dyDescent="0.3">
      <c r="A14" s="148">
        <v>13</v>
      </c>
      <c r="B14" s="148" t="s">
        <v>35</v>
      </c>
      <c r="C14" s="149" t="s">
        <v>216</v>
      </c>
      <c r="D14" s="150">
        <v>410</v>
      </c>
      <c r="E14" s="150" t="s">
        <v>172</v>
      </c>
      <c r="F14" s="247">
        <v>45.02</v>
      </c>
      <c r="G14" s="241">
        <v>484.59528</v>
      </c>
      <c r="H14" s="242">
        <v>533.05480800000009</v>
      </c>
      <c r="I14" s="244" t="s">
        <v>167</v>
      </c>
      <c r="J14" s="242" t="s">
        <v>167</v>
      </c>
      <c r="K14" s="131">
        <v>24500</v>
      </c>
      <c r="L14" s="132">
        <f t="shared" si="0"/>
        <v>11872584</v>
      </c>
      <c r="AC14" s="236">
        <v>13</v>
      </c>
      <c r="AD14" s="236" t="s">
        <v>157</v>
      </c>
      <c r="AE14" s="237" t="s">
        <v>250</v>
      </c>
      <c r="AF14" s="238">
        <v>223</v>
      </c>
      <c r="AG14" s="238" t="s">
        <v>157</v>
      </c>
      <c r="AH14" s="239">
        <v>23.35</v>
      </c>
      <c r="AI14" s="239">
        <v>251.33940000000001</v>
      </c>
      <c r="AJ14" s="240">
        <v>276.47334000000001</v>
      </c>
      <c r="AK14" s="240" t="s">
        <v>167</v>
      </c>
      <c r="AL14" s="240" t="s">
        <v>261</v>
      </c>
      <c r="AM14" s="131">
        <v>30000</v>
      </c>
      <c r="AN14" s="132">
        <f t="shared" si="2"/>
        <v>7540182</v>
      </c>
    </row>
    <row r="15" spans="1:40" ht="16.5" x14ac:dyDescent="0.3">
      <c r="A15" s="236">
        <v>14</v>
      </c>
      <c r="B15" s="236" t="s">
        <v>35</v>
      </c>
      <c r="C15" s="237" t="s">
        <v>217</v>
      </c>
      <c r="D15" s="238">
        <v>502</v>
      </c>
      <c r="E15" s="238" t="s">
        <v>172</v>
      </c>
      <c r="F15" s="246">
        <v>58.59</v>
      </c>
      <c r="G15" s="239">
        <v>630.66276000000005</v>
      </c>
      <c r="H15" s="240">
        <v>693.72903600000006</v>
      </c>
      <c r="I15" s="243" t="s">
        <v>167</v>
      </c>
      <c r="J15" s="240" t="s">
        <v>167</v>
      </c>
      <c r="K15" s="131">
        <v>24500</v>
      </c>
      <c r="L15" s="132">
        <f t="shared" si="0"/>
        <v>15451238</v>
      </c>
      <c r="AC15" s="148">
        <v>14</v>
      </c>
      <c r="AD15" s="148" t="s">
        <v>157</v>
      </c>
      <c r="AE15" s="149" t="s">
        <v>250</v>
      </c>
      <c r="AF15" s="150" t="s">
        <v>262</v>
      </c>
      <c r="AG15" s="150" t="s">
        <v>157</v>
      </c>
      <c r="AH15" s="241">
        <v>139.35</v>
      </c>
      <c r="AI15" s="241">
        <v>1499.9633999999999</v>
      </c>
      <c r="AJ15" s="242">
        <v>1649.95974</v>
      </c>
      <c r="AK15" s="242" t="s">
        <v>167</v>
      </c>
      <c r="AL15" s="242" t="s">
        <v>261</v>
      </c>
      <c r="AM15" s="131">
        <v>30000</v>
      </c>
      <c r="AN15" s="132">
        <f t="shared" si="2"/>
        <v>44998902</v>
      </c>
    </row>
    <row r="16" spans="1:40" ht="16.5" x14ac:dyDescent="0.3">
      <c r="A16" s="148">
        <v>15</v>
      </c>
      <c r="B16" s="148" t="s">
        <v>35</v>
      </c>
      <c r="C16" s="149" t="s">
        <v>217</v>
      </c>
      <c r="D16" s="150">
        <v>503</v>
      </c>
      <c r="E16" s="150" t="s">
        <v>172</v>
      </c>
      <c r="F16" s="247">
        <v>58.59</v>
      </c>
      <c r="G16" s="241">
        <v>630.66276000000005</v>
      </c>
      <c r="H16" s="242">
        <v>693.72903600000006</v>
      </c>
      <c r="I16" s="244" t="s">
        <v>167</v>
      </c>
      <c r="J16" s="242" t="s">
        <v>167</v>
      </c>
      <c r="K16" s="131">
        <v>24500</v>
      </c>
      <c r="L16" s="132">
        <f t="shared" si="0"/>
        <v>15451238</v>
      </c>
      <c r="AC16" s="236">
        <v>15</v>
      </c>
      <c r="AD16" s="236" t="s">
        <v>157</v>
      </c>
      <c r="AE16" s="237" t="s">
        <v>250</v>
      </c>
      <c r="AF16" s="238" t="s">
        <v>263</v>
      </c>
      <c r="AG16" s="150" t="s">
        <v>157</v>
      </c>
      <c r="AH16" s="239">
        <v>31.12</v>
      </c>
      <c r="AI16" s="239">
        <v>334.97568000000001</v>
      </c>
      <c r="AJ16" s="242">
        <v>368.47324800000007</v>
      </c>
      <c r="AK16" s="242" t="s">
        <v>167</v>
      </c>
      <c r="AL16" s="240" t="s">
        <v>261</v>
      </c>
      <c r="AM16" s="131">
        <v>30000</v>
      </c>
      <c r="AN16" s="132">
        <f t="shared" si="2"/>
        <v>10049270</v>
      </c>
    </row>
    <row r="17" spans="1:40" ht="16.5" x14ac:dyDescent="0.3">
      <c r="A17" s="236">
        <v>16</v>
      </c>
      <c r="B17" s="236" t="s">
        <v>35</v>
      </c>
      <c r="C17" s="237" t="s">
        <v>218</v>
      </c>
      <c r="D17" s="238">
        <v>606</v>
      </c>
      <c r="E17" s="238" t="s">
        <v>253</v>
      </c>
      <c r="F17" s="246">
        <v>33.44</v>
      </c>
      <c r="G17" s="239">
        <v>359.94815999999997</v>
      </c>
      <c r="H17" s="240">
        <v>395.94297599999999</v>
      </c>
      <c r="I17" s="243" t="s">
        <v>167</v>
      </c>
      <c r="J17" s="240" t="s">
        <v>261</v>
      </c>
      <c r="K17" s="131">
        <v>24500</v>
      </c>
      <c r="L17" s="132">
        <f t="shared" si="0"/>
        <v>8818730</v>
      </c>
      <c r="AC17" s="264" t="s">
        <v>32</v>
      </c>
      <c r="AD17" s="264"/>
      <c r="AE17" s="264"/>
      <c r="AF17" s="264"/>
      <c r="AG17" s="264"/>
      <c r="AH17" s="133">
        <f>SUM(AH2:AH16)</f>
        <v>1523.9999999999998</v>
      </c>
      <c r="AI17" s="133">
        <f t="shared" ref="AI17:AJ17" si="5">SUM(AI2:AI16)</f>
        <v>16404.335999999999</v>
      </c>
      <c r="AJ17" s="133">
        <f t="shared" si="5"/>
        <v>18044.7696</v>
      </c>
      <c r="AK17" s="249"/>
      <c r="AL17" s="249"/>
      <c r="AM17" s="249"/>
      <c r="AN17" s="133">
        <f t="shared" ref="AN17" si="6">SUM(AN2:AN16)</f>
        <v>492130079</v>
      </c>
    </row>
    <row r="18" spans="1:40" ht="16.5" x14ac:dyDescent="0.3">
      <c r="A18" s="148">
        <v>17</v>
      </c>
      <c r="B18" s="148" t="s">
        <v>35</v>
      </c>
      <c r="C18" s="149" t="s">
        <v>219</v>
      </c>
      <c r="D18" s="150">
        <v>705</v>
      </c>
      <c r="E18" s="150" t="s">
        <v>253</v>
      </c>
      <c r="F18" s="247">
        <v>33.44</v>
      </c>
      <c r="G18" s="241">
        <v>359.94815999999997</v>
      </c>
      <c r="H18" s="242">
        <v>395.94297599999999</v>
      </c>
      <c r="I18" s="244" t="s">
        <v>167</v>
      </c>
      <c r="J18" s="242" t="s">
        <v>261</v>
      </c>
      <c r="K18" s="131">
        <v>24500</v>
      </c>
      <c r="L18" s="132">
        <f t="shared" si="0"/>
        <v>8818730</v>
      </c>
    </row>
    <row r="19" spans="1:40" ht="16.5" x14ac:dyDescent="0.3">
      <c r="A19" s="236">
        <v>18</v>
      </c>
      <c r="B19" s="236" t="s">
        <v>35</v>
      </c>
      <c r="C19" s="237" t="s">
        <v>219</v>
      </c>
      <c r="D19" s="238">
        <v>706</v>
      </c>
      <c r="E19" s="238" t="s">
        <v>253</v>
      </c>
      <c r="F19" s="246">
        <v>33.44</v>
      </c>
      <c r="G19" s="239">
        <v>359.94815999999997</v>
      </c>
      <c r="H19" s="240">
        <v>395.94297599999999</v>
      </c>
      <c r="I19" s="243" t="s">
        <v>167</v>
      </c>
      <c r="J19" s="240" t="s">
        <v>167</v>
      </c>
      <c r="K19" s="131">
        <v>24500</v>
      </c>
      <c r="L19" s="132">
        <f t="shared" si="0"/>
        <v>8818730</v>
      </c>
    </row>
    <row r="20" spans="1:40" ht="16.5" x14ac:dyDescent="0.3">
      <c r="A20" s="148">
        <v>19</v>
      </c>
      <c r="B20" s="148" t="s">
        <v>35</v>
      </c>
      <c r="C20" s="149" t="s">
        <v>222</v>
      </c>
      <c r="D20" s="150">
        <v>1001</v>
      </c>
      <c r="E20" s="150" t="s">
        <v>173</v>
      </c>
      <c r="F20" s="247">
        <v>33.159999999999997</v>
      </c>
      <c r="G20" s="241">
        <v>356.93423999999993</v>
      </c>
      <c r="H20" s="242">
        <v>392.62766399999998</v>
      </c>
      <c r="I20" s="244" t="s">
        <v>167</v>
      </c>
      <c r="J20" s="242" t="s">
        <v>167</v>
      </c>
      <c r="K20" s="131">
        <v>24500</v>
      </c>
      <c r="L20" s="132">
        <f t="shared" si="0"/>
        <v>8744889</v>
      </c>
    </row>
    <row r="21" spans="1:40" ht="16.5" x14ac:dyDescent="0.3">
      <c r="A21" s="236">
        <v>20</v>
      </c>
      <c r="B21" s="236" t="s">
        <v>35</v>
      </c>
      <c r="C21" s="237" t="s">
        <v>222</v>
      </c>
      <c r="D21" s="238">
        <v>1007</v>
      </c>
      <c r="E21" s="238" t="s">
        <v>174</v>
      </c>
      <c r="F21" s="246">
        <v>88.58</v>
      </c>
      <c r="G21" s="239">
        <v>953.47511999999995</v>
      </c>
      <c r="H21" s="240">
        <v>1048.8226320000001</v>
      </c>
      <c r="I21" s="243" t="s">
        <v>167</v>
      </c>
      <c r="J21" s="240" t="s">
        <v>261</v>
      </c>
      <c r="K21" s="131">
        <v>24500</v>
      </c>
      <c r="L21" s="132">
        <f t="shared" si="0"/>
        <v>23360140</v>
      </c>
    </row>
    <row r="22" spans="1:40" ht="16.5" x14ac:dyDescent="0.3">
      <c r="A22" s="148">
        <v>21</v>
      </c>
      <c r="B22" s="148" t="s">
        <v>35</v>
      </c>
      <c r="C22" s="149" t="s">
        <v>222</v>
      </c>
      <c r="D22" s="150">
        <v>1008</v>
      </c>
      <c r="E22" s="150" t="s">
        <v>174</v>
      </c>
      <c r="F22" s="247">
        <v>88.58</v>
      </c>
      <c r="G22" s="241">
        <v>953.47511999999995</v>
      </c>
      <c r="H22" s="242">
        <v>1048.8226320000001</v>
      </c>
      <c r="I22" s="244" t="s">
        <v>167</v>
      </c>
      <c r="J22" s="242" t="s">
        <v>261</v>
      </c>
      <c r="K22" s="131">
        <v>24500</v>
      </c>
      <c r="L22" s="132">
        <f t="shared" si="0"/>
        <v>23360140</v>
      </c>
    </row>
    <row r="23" spans="1:40" ht="16.5" x14ac:dyDescent="0.3">
      <c r="A23" s="236">
        <v>22</v>
      </c>
      <c r="B23" s="236" t="s">
        <v>35</v>
      </c>
      <c r="C23" s="237" t="s">
        <v>223</v>
      </c>
      <c r="D23" s="238">
        <v>1107</v>
      </c>
      <c r="E23" s="238" t="s">
        <v>174</v>
      </c>
      <c r="F23" s="246">
        <v>88.58</v>
      </c>
      <c r="G23" s="239">
        <v>953.47511999999995</v>
      </c>
      <c r="H23" s="240">
        <v>1048.8226320000001</v>
      </c>
      <c r="I23" s="243" t="s">
        <v>167</v>
      </c>
      <c r="J23" s="240" t="s">
        <v>261</v>
      </c>
      <c r="K23" s="131">
        <v>24500</v>
      </c>
      <c r="L23" s="132">
        <f t="shared" si="0"/>
        <v>23360140</v>
      </c>
    </row>
    <row r="24" spans="1:40" ht="16.5" x14ac:dyDescent="0.3">
      <c r="A24" s="148">
        <v>23</v>
      </c>
      <c r="B24" s="148" t="s">
        <v>35</v>
      </c>
      <c r="C24" s="149" t="s">
        <v>226</v>
      </c>
      <c r="D24" s="150">
        <v>1404</v>
      </c>
      <c r="E24" s="150" t="s">
        <v>173</v>
      </c>
      <c r="F24" s="247">
        <v>33.159999999999997</v>
      </c>
      <c r="G24" s="241">
        <v>356.93423999999993</v>
      </c>
      <c r="H24" s="242">
        <v>392.62766399999998</v>
      </c>
      <c r="I24" s="244" t="s">
        <v>167</v>
      </c>
      <c r="J24" s="242" t="s">
        <v>167</v>
      </c>
      <c r="K24" s="131">
        <v>24500</v>
      </c>
      <c r="L24" s="132">
        <f t="shared" si="0"/>
        <v>8744889</v>
      </c>
    </row>
    <row r="25" spans="1:40" ht="16.5" x14ac:dyDescent="0.3">
      <c r="A25" s="236">
        <v>24</v>
      </c>
      <c r="B25" s="236" t="s">
        <v>35</v>
      </c>
      <c r="C25" s="237" t="s">
        <v>227</v>
      </c>
      <c r="D25" s="238">
        <v>1501</v>
      </c>
      <c r="E25" s="238" t="s">
        <v>173</v>
      </c>
      <c r="F25" s="246">
        <v>33.159999999999997</v>
      </c>
      <c r="G25" s="239">
        <v>356.93423999999993</v>
      </c>
      <c r="H25" s="240">
        <v>392.62766399999998</v>
      </c>
      <c r="I25" s="243" t="s">
        <v>167</v>
      </c>
      <c r="J25" s="240" t="s">
        <v>167</v>
      </c>
      <c r="K25" s="131">
        <v>24500</v>
      </c>
      <c r="L25" s="132">
        <f t="shared" si="0"/>
        <v>8744889</v>
      </c>
    </row>
    <row r="26" spans="1:40" ht="16.5" x14ac:dyDescent="0.3">
      <c r="A26" s="148">
        <v>25</v>
      </c>
      <c r="B26" s="148" t="s">
        <v>35</v>
      </c>
      <c r="C26" s="149" t="s">
        <v>228</v>
      </c>
      <c r="D26" s="150">
        <v>1608</v>
      </c>
      <c r="E26" s="150" t="s">
        <v>174</v>
      </c>
      <c r="F26" s="247">
        <v>88.58</v>
      </c>
      <c r="G26" s="241">
        <v>953.47511999999995</v>
      </c>
      <c r="H26" s="242">
        <v>1048.8226320000001</v>
      </c>
      <c r="I26" s="244" t="s">
        <v>167</v>
      </c>
      <c r="J26" s="242" t="s">
        <v>261</v>
      </c>
      <c r="K26" s="131">
        <v>24500</v>
      </c>
      <c r="L26" s="132">
        <f t="shared" si="0"/>
        <v>23360140</v>
      </c>
    </row>
    <row r="27" spans="1:40" ht="16.5" x14ac:dyDescent="0.3">
      <c r="A27" s="236">
        <v>26</v>
      </c>
      <c r="B27" s="236" t="s">
        <v>35</v>
      </c>
      <c r="C27" s="237" t="s">
        <v>230</v>
      </c>
      <c r="D27" s="238">
        <v>1805</v>
      </c>
      <c r="E27" s="238" t="s">
        <v>172</v>
      </c>
      <c r="F27" s="246">
        <v>66.23</v>
      </c>
      <c r="G27" s="239">
        <v>712.89972</v>
      </c>
      <c r="H27" s="240">
        <v>784.18969200000004</v>
      </c>
      <c r="I27" s="243" t="s">
        <v>167</v>
      </c>
      <c r="J27" s="240" t="s">
        <v>261</v>
      </c>
      <c r="K27" s="131">
        <v>24500</v>
      </c>
      <c r="L27" s="132">
        <f t="shared" si="0"/>
        <v>17466043</v>
      </c>
    </row>
    <row r="28" spans="1:40" ht="16.5" x14ac:dyDescent="0.3">
      <c r="A28" s="148">
        <v>27</v>
      </c>
      <c r="B28" s="148" t="s">
        <v>35</v>
      </c>
      <c r="C28" s="149" t="s">
        <v>230</v>
      </c>
      <c r="D28" s="150">
        <v>1806</v>
      </c>
      <c r="E28" s="150" t="s">
        <v>172</v>
      </c>
      <c r="F28" s="247">
        <v>66.23</v>
      </c>
      <c r="G28" s="241">
        <v>712.89972</v>
      </c>
      <c r="H28" s="242">
        <v>784.18969200000004</v>
      </c>
      <c r="I28" s="244" t="s">
        <v>167</v>
      </c>
      <c r="J28" s="242" t="s">
        <v>261</v>
      </c>
      <c r="K28" s="131">
        <v>24500</v>
      </c>
      <c r="L28" s="132">
        <f t="shared" si="0"/>
        <v>17466043</v>
      </c>
    </row>
    <row r="29" spans="1:40" ht="16.5" x14ac:dyDescent="0.3">
      <c r="A29" s="236">
        <v>28</v>
      </c>
      <c r="B29" s="236" t="s">
        <v>35</v>
      </c>
      <c r="C29" s="237" t="s">
        <v>231</v>
      </c>
      <c r="D29" s="238">
        <v>1901</v>
      </c>
      <c r="E29" s="238" t="s">
        <v>173</v>
      </c>
      <c r="F29" s="246">
        <v>33.159999999999997</v>
      </c>
      <c r="G29" s="239">
        <v>356.93423999999993</v>
      </c>
      <c r="H29" s="240">
        <v>392.62766399999998</v>
      </c>
      <c r="I29" s="243" t="s">
        <v>167</v>
      </c>
      <c r="J29" s="240" t="s">
        <v>261</v>
      </c>
      <c r="K29" s="131">
        <v>24500</v>
      </c>
      <c r="L29" s="132">
        <f t="shared" si="0"/>
        <v>8744889</v>
      </c>
    </row>
    <row r="30" spans="1:40" ht="16.5" x14ac:dyDescent="0.3">
      <c r="A30" s="264" t="s">
        <v>32</v>
      </c>
      <c r="B30" s="264"/>
      <c r="C30" s="264"/>
      <c r="D30" s="264"/>
      <c r="E30" s="264"/>
      <c r="F30" s="133">
        <f>SUM(F2:F29)</f>
        <v>1572.5300000000002</v>
      </c>
      <c r="G30" s="133">
        <f t="shared" ref="G30:H30" si="7">SUM(G2:G29)</f>
        <v>16926.712919999994</v>
      </c>
      <c r="H30" s="133">
        <f t="shared" si="7"/>
        <v>18619.384212000001</v>
      </c>
      <c r="I30" s="249"/>
      <c r="J30" s="249"/>
      <c r="K30" s="249"/>
      <c r="L30" s="133">
        <f t="shared" ref="L30" si="8">SUM(L2:L29)</f>
        <v>414704464</v>
      </c>
    </row>
  </sheetData>
  <mergeCells count="3">
    <mergeCell ref="A30:E30"/>
    <mergeCell ref="O6:S6"/>
    <mergeCell ref="AC17:AG17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780A1A-3117-4C87-B3AE-AE2D6A9D3D4C}">
  <sheetPr>
    <tabColor rgb="FF92D050"/>
  </sheetPr>
  <dimension ref="A1:AQ132"/>
  <sheetViews>
    <sheetView topLeftCell="S31" workbookViewId="0">
      <selection activeCell="K132" sqref="K132"/>
    </sheetView>
  </sheetViews>
  <sheetFormatPr defaultRowHeight="14.25" x14ac:dyDescent="0.2"/>
  <cols>
    <col min="1" max="1" width="4.125" customWidth="1"/>
    <col min="2" max="2" width="4.75" bestFit="1" customWidth="1"/>
    <col min="3" max="3" width="10.875" bestFit="1" customWidth="1"/>
    <col min="5" max="5" width="6.5" bestFit="1" customWidth="1"/>
    <col min="6" max="7" width="9.75" bestFit="1" customWidth="1"/>
    <col min="8" max="8" width="10" bestFit="1" customWidth="1"/>
    <col min="9" max="9" width="9" bestFit="1" customWidth="1"/>
    <col min="10" max="10" width="4.5" bestFit="1" customWidth="1"/>
    <col min="11" max="11" width="14.375" bestFit="1" customWidth="1"/>
    <col min="12" max="12" width="13.125" bestFit="1" customWidth="1"/>
    <col min="13" max="13" width="14.375" bestFit="1" customWidth="1"/>
    <col min="16" max="16" width="5.75" bestFit="1" customWidth="1"/>
    <col min="17" max="17" width="4.75" bestFit="1" customWidth="1"/>
    <col min="18" max="18" width="17.75" bestFit="1" customWidth="1"/>
    <col min="20" max="20" width="5.75" bestFit="1" customWidth="1"/>
    <col min="21" max="21" width="7.875" bestFit="1" customWidth="1"/>
    <col min="22" max="23" width="8.75" bestFit="1" customWidth="1"/>
    <col min="25" max="25" width="4.5" bestFit="1" customWidth="1"/>
    <col min="26" max="28" width="13.125" bestFit="1" customWidth="1"/>
    <col min="31" max="31" width="3.375" bestFit="1" customWidth="1"/>
    <col min="32" max="32" width="5" bestFit="1" customWidth="1"/>
    <col min="33" max="33" width="11.625" bestFit="1" customWidth="1"/>
    <col min="35" max="35" width="5.75" bestFit="1" customWidth="1"/>
    <col min="36" max="36" width="7.875" bestFit="1" customWidth="1"/>
    <col min="37" max="38" width="8.75" bestFit="1" customWidth="1"/>
    <col min="40" max="40" width="4.5" bestFit="1" customWidth="1"/>
    <col min="41" max="41" width="13.125" bestFit="1" customWidth="1"/>
    <col min="42" max="42" width="12.125" bestFit="1" customWidth="1"/>
    <col min="43" max="43" width="13.125" bestFit="1" customWidth="1"/>
  </cols>
  <sheetData>
    <row r="1" spans="1:43" x14ac:dyDescent="0.2">
      <c r="A1" s="265" t="s">
        <v>269</v>
      </c>
      <c r="B1" s="266"/>
      <c r="C1" s="266"/>
      <c r="D1" s="266"/>
      <c r="E1" s="266"/>
      <c r="F1" s="266"/>
      <c r="G1" s="266"/>
      <c r="H1" s="266"/>
      <c r="I1" s="266"/>
      <c r="J1" s="266"/>
      <c r="K1" s="266"/>
      <c r="L1" s="266"/>
      <c r="M1" s="266"/>
      <c r="P1" s="265" t="s">
        <v>270</v>
      </c>
      <c r="Q1" s="266"/>
      <c r="R1" s="266"/>
      <c r="S1" s="266"/>
      <c r="T1" s="266"/>
      <c r="U1" s="266"/>
      <c r="V1" s="266"/>
      <c r="W1" s="266"/>
      <c r="X1" s="266"/>
      <c r="Y1" s="266"/>
      <c r="Z1" s="266"/>
      <c r="AA1" s="266"/>
      <c r="AB1" s="266"/>
      <c r="AE1" s="265" t="s">
        <v>271</v>
      </c>
      <c r="AF1" s="266"/>
      <c r="AG1" s="266"/>
      <c r="AH1" s="266"/>
      <c r="AI1" s="266"/>
      <c r="AJ1" s="266"/>
      <c r="AK1" s="266"/>
      <c r="AL1" s="266"/>
      <c r="AM1" s="266"/>
      <c r="AN1" s="266"/>
      <c r="AO1" s="266"/>
      <c r="AP1" s="266"/>
      <c r="AQ1" s="266"/>
    </row>
    <row r="2" spans="1:43" ht="66" x14ac:dyDescent="0.2">
      <c r="A2" s="235" t="s">
        <v>33</v>
      </c>
      <c r="B2" s="235" t="s">
        <v>65</v>
      </c>
      <c r="C2" s="235" t="s">
        <v>62</v>
      </c>
      <c r="D2" s="235" t="s">
        <v>247</v>
      </c>
      <c r="E2" s="235" t="s">
        <v>233</v>
      </c>
      <c r="F2" s="235" t="s">
        <v>246</v>
      </c>
      <c r="G2" s="235" t="s">
        <v>160</v>
      </c>
      <c r="H2" s="235" t="s">
        <v>212</v>
      </c>
      <c r="I2" s="235" t="s">
        <v>234</v>
      </c>
      <c r="J2" s="235" t="s">
        <v>257</v>
      </c>
      <c r="K2" s="235" t="s">
        <v>258</v>
      </c>
      <c r="L2" s="235" t="s">
        <v>259</v>
      </c>
      <c r="M2" s="235" t="s">
        <v>161</v>
      </c>
      <c r="P2" s="235" t="s">
        <v>33</v>
      </c>
      <c r="Q2" s="235" t="s">
        <v>65</v>
      </c>
      <c r="R2" s="235" t="s">
        <v>62</v>
      </c>
      <c r="S2" s="235" t="s">
        <v>247</v>
      </c>
      <c r="T2" s="235" t="s">
        <v>233</v>
      </c>
      <c r="U2" s="235" t="s">
        <v>246</v>
      </c>
      <c r="V2" s="235" t="s">
        <v>160</v>
      </c>
      <c r="W2" s="235" t="s">
        <v>212</v>
      </c>
      <c r="X2" s="235" t="s">
        <v>234</v>
      </c>
      <c r="Y2" s="235" t="s">
        <v>257</v>
      </c>
      <c r="Z2" s="235" t="s">
        <v>258</v>
      </c>
      <c r="AA2" s="235" t="s">
        <v>259</v>
      </c>
      <c r="AB2" s="235" t="s">
        <v>161</v>
      </c>
      <c r="AE2" s="235" t="s">
        <v>33</v>
      </c>
      <c r="AF2" s="235" t="s">
        <v>65</v>
      </c>
      <c r="AG2" s="235" t="s">
        <v>62</v>
      </c>
      <c r="AH2" s="235" t="s">
        <v>247</v>
      </c>
      <c r="AI2" s="235" t="s">
        <v>233</v>
      </c>
      <c r="AJ2" s="235" t="s">
        <v>246</v>
      </c>
      <c r="AK2" s="235" t="s">
        <v>160</v>
      </c>
      <c r="AL2" s="235" t="s">
        <v>212</v>
      </c>
      <c r="AM2" s="235" t="s">
        <v>234</v>
      </c>
      <c r="AN2" s="235" t="s">
        <v>257</v>
      </c>
      <c r="AO2" s="235" t="s">
        <v>258</v>
      </c>
      <c r="AP2" s="235" t="s">
        <v>259</v>
      </c>
      <c r="AQ2" s="235" t="s">
        <v>161</v>
      </c>
    </row>
    <row r="3" spans="1:43" ht="16.5" x14ac:dyDescent="0.3">
      <c r="A3" s="148">
        <v>1</v>
      </c>
      <c r="B3" s="150" t="s">
        <v>34</v>
      </c>
      <c r="C3" s="149" t="s">
        <v>213</v>
      </c>
      <c r="D3" s="150">
        <v>101</v>
      </c>
      <c r="E3" s="150" t="s">
        <v>251</v>
      </c>
      <c r="F3" s="159">
        <v>44.07</v>
      </c>
      <c r="G3" s="241">
        <v>474.36947999999995</v>
      </c>
      <c r="H3" s="242">
        <v>521.80642799999998</v>
      </c>
      <c r="I3" s="150" t="s">
        <v>168</v>
      </c>
      <c r="J3" s="242" t="s">
        <v>168</v>
      </c>
      <c r="K3" s="242">
        <v>6860000</v>
      </c>
      <c r="L3" s="251">
        <v>3800000</v>
      </c>
      <c r="M3" s="251">
        <v>3060000</v>
      </c>
      <c r="P3" s="236">
        <v>1</v>
      </c>
      <c r="Q3" s="236" t="s">
        <v>156</v>
      </c>
      <c r="R3" s="237" t="s">
        <v>31</v>
      </c>
      <c r="S3" s="238">
        <v>1</v>
      </c>
      <c r="T3" s="238" t="s">
        <v>156</v>
      </c>
      <c r="U3" s="239">
        <v>16.93</v>
      </c>
      <c r="V3" s="239">
        <v>182.23451999999997</v>
      </c>
      <c r="W3" s="240">
        <v>200.45797199999998</v>
      </c>
      <c r="X3" s="243" t="s">
        <v>168</v>
      </c>
      <c r="Y3" s="250" t="s">
        <v>168</v>
      </c>
      <c r="Z3" s="250">
        <v>4485000</v>
      </c>
      <c r="AA3" s="250">
        <v>4050000</v>
      </c>
      <c r="AB3" s="250">
        <v>435000</v>
      </c>
      <c r="AC3">
        <f>Z3/V3</f>
        <v>24611.143925969682</v>
      </c>
      <c r="AE3" s="148">
        <v>1</v>
      </c>
      <c r="AF3" s="148" t="s">
        <v>157</v>
      </c>
      <c r="AG3" s="149" t="s">
        <v>248</v>
      </c>
      <c r="AH3" s="150">
        <v>101</v>
      </c>
      <c r="AI3" s="150" t="s">
        <v>157</v>
      </c>
      <c r="AJ3" s="159">
        <v>119.85</v>
      </c>
      <c r="AK3" s="241">
        <v>1290.0654</v>
      </c>
      <c r="AL3" s="242">
        <v>1419.07194</v>
      </c>
      <c r="AM3" s="244" t="s">
        <v>168</v>
      </c>
      <c r="AN3" s="251" t="s">
        <v>168</v>
      </c>
      <c r="AO3" s="251">
        <v>19920000</v>
      </c>
      <c r="AP3" s="251">
        <v>11758398</v>
      </c>
      <c r="AQ3" s="251">
        <v>8161602</v>
      </c>
    </row>
    <row r="4" spans="1:43" ht="16.5" x14ac:dyDescent="0.3">
      <c r="A4" s="236">
        <v>2</v>
      </c>
      <c r="B4" s="238" t="s">
        <v>34</v>
      </c>
      <c r="C4" s="237" t="s">
        <v>213</v>
      </c>
      <c r="D4" s="238">
        <v>102</v>
      </c>
      <c r="E4" s="238" t="s">
        <v>251</v>
      </c>
      <c r="F4" s="159">
        <v>44.07</v>
      </c>
      <c r="G4" s="239">
        <v>474.36947999999995</v>
      </c>
      <c r="H4" s="240">
        <v>521.80642799999998</v>
      </c>
      <c r="I4" s="238" t="s">
        <v>168</v>
      </c>
      <c r="J4" s="240" t="s">
        <v>168</v>
      </c>
      <c r="K4" s="240">
        <v>6860000</v>
      </c>
      <c r="L4" s="250">
        <v>4037400</v>
      </c>
      <c r="M4" s="250">
        <v>2822600</v>
      </c>
      <c r="P4" s="148">
        <v>2</v>
      </c>
      <c r="Q4" s="148" t="s">
        <v>156</v>
      </c>
      <c r="R4" s="149" t="s">
        <v>31</v>
      </c>
      <c r="S4" s="150">
        <v>2</v>
      </c>
      <c r="T4" s="150" t="s">
        <v>156</v>
      </c>
      <c r="U4" s="159">
        <v>17.64</v>
      </c>
      <c r="V4" s="241">
        <v>189.87696</v>
      </c>
      <c r="W4" s="242">
        <v>208.86465600000002</v>
      </c>
      <c r="X4" s="244" t="s">
        <v>168</v>
      </c>
      <c r="Y4" s="251" t="s">
        <v>168</v>
      </c>
      <c r="Z4" s="251">
        <v>4894500</v>
      </c>
      <c r="AA4" s="251">
        <v>1400000</v>
      </c>
      <c r="AB4" s="251">
        <v>3494500</v>
      </c>
      <c r="AC4">
        <f t="shared" ref="AC4:AC41" si="0">Z4/V4</f>
        <v>25777.219100200466</v>
      </c>
      <c r="AE4" s="236">
        <v>2</v>
      </c>
      <c r="AF4" s="236" t="s">
        <v>157</v>
      </c>
      <c r="AG4" s="237" t="s">
        <v>248</v>
      </c>
      <c r="AH4" s="238">
        <v>102</v>
      </c>
      <c r="AI4" s="238" t="s">
        <v>157</v>
      </c>
      <c r="AJ4" s="159">
        <v>45</v>
      </c>
      <c r="AK4" s="239">
        <v>484.38</v>
      </c>
      <c r="AL4" s="240">
        <v>532.81799999999998</v>
      </c>
      <c r="AM4" s="243" t="s">
        <v>168</v>
      </c>
      <c r="AN4" s="250" t="s">
        <v>168</v>
      </c>
      <c r="AO4" s="250">
        <v>7722000</v>
      </c>
      <c r="AP4" s="250">
        <v>5800000</v>
      </c>
      <c r="AQ4" s="250">
        <v>1922000</v>
      </c>
    </row>
    <row r="5" spans="1:43" ht="16.5" x14ac:dyDescent="0.3">
      <c r="A5" s="148">
        <v>3</v>
      </c>
      <c r="B5" s="148" t="s">
        <v>34</v>
      </c>
      <c r="C5" s="149" t="s">
        <v>214</v>
      </c>
      <c r="D5" s="150">
        <v>203</v>
      </c>
      <c r="E5" s="150" t="s">
        <v>254</v>
      </c>
      <c r="F5" s="241">
        <v>66.650000000000006</v>
      </c>
      <c r="G5" s="241">
        <v>717.42060000000004</v>
      </c>
      <c r="H5" s="242">
        <v>789.16266000000007</v>
      </c>
      <c r="I5" s="150" t="s">
        <v>211</v>
      </c>
      <c r="J5" s="242" t="s">
        <v>168</v>
      </c>
      <c r="K5" s="242">
        <v>16031820</v>
      </c>
      <c r="L5" s="251">
        <v>1000000</v>
      </c>
      <c r="M5" s="251">
        <v>15031820</v>
      </c>
      <c r="P5" s="236">
        <v>3</v>
      </c>
      <c r="Q5" s="236" t="s">
        <v>156</v>
      </c>
      <c r="R5" s="237" t="s">
        <v>31</v>
      </c>
      <c r="S5" s="238">
        <v>4</v>
      </c>
      <c r="T5" s="238" t="s">
        <v>156</v>
      </c>
      <c r="U5" s="239">
        <v>14.25</v>
      </c>
      <c r="V5" s="239">
        <v>153.387</v>
      </c>
      <c r="W5" s="240">
        <v>168.72570000000002</v>
      </c>
      <c r="X5" s="243" t="s">
        <v>168</v>
      </c>
      <c r="Y5" s="250" t="s">
        <v>168</v>
      </c>
      <c r="Z5" s="250">
        <v>2640000</v>
      </c>
      <c r="AA5" s="250">
        <v>500000</v>
      </c>
      <c r="AB5" s="250">
        <v>2140000</v>
      </c>
      <c r="AC5">
        <f t="shared" si="0"/>
        <v>17211.367325783802</v>
      </c>
      <c r="AE5" s="148">
        <v>3</v>
      </c>
      <c r="AF5" s="148" t="s">
        <v>157</v>
      </c>
      <c r="AG5" s="149" t="s">
        <v>248</v>
      </c>
      <c r="AH5" s="150">
        <v>103</v>
      </c>
      <c r="AI5" s="150" t="s">
        <v>157</v>
      </c>
      <c r="AJ5" s="159">
        <v>44.97</v>
      </c>
      <c r="AK5" s="241">
        <v>484.05707999999998</v>
      </c>
      <c r="AL5" s="242">
        <v>532.46278800000005</v>
      </c>
      <c r="AM5" s="244" t="s">
        <v>168</v>
      </c>
      <c r="AN5" s="251" t="s">
        <v>168</v>
      </c>
      <c r="AO5" s="251">
        <v>7837500</v>
      </c>
      <c r="AP5" s="251">
        <v>6348375</v>
      </c>
      <c r="AQ5" s="251">
        <v>1489125</v>
      </c>
    </row>
    <row r="6" spans="1:43" ht="16.5" x14ac:dyDescent="0.3">
      <c r="A6" s="236">
        <v>4</v>
      </c>
      <c r="B6" s="236" t="s">
        <v>34</v>
      </c>
      <c r="C6" s="237" t="s">
        <v>216</v>
      </c>
      <c r="D6" s="238">
        <v>403</v>
      </c>
      <c r="E6" s="238" t="s">
        <v>254</v>
      </c>
      <c r="F6" s="239">
        <v>66.650000000000006</v>
      </c>
      <c r="G6" s="239">
        <v>717.42060000000004</v>
      </c>
      <c r="H6" s="240">
        <v>789.16266000000007</v>
      </c>
      <c r="I6" s="238" t="s">
        <v>211</v>
      </c>
      <c r="J6" s="240" t="s">
        <v>168</v>
      </c>
      <c r="K6" s="240">
        <v>15435000</v>
      </c>
      <c r="L6" s="250">
        <v>7500000</v>
      </c>
      <c r="M6" s="250">
        <v>7935000</v>
      </c>
      <c r="P6" s="148">
        <v>4</v>
      </c>
      <c r="Q6" s="148" t="s">
        <v>156</v>
      </c>
      <c r="R6" s="149" t="s">
        <v>31</v>
      </c>
      <c r="S6" s="150">
        <v>5</v>
      </c>
      <c r="T6" s="150" t="s">
        <v>156</v>
      </c>
      <c r="U6" s="159">
        <v>14.25</v>
      </c>
      <c r="V6" s="241">
        <v>153.387</v>
      </c>
      <c r="W6" s="242">
        <v>168.72570000000002</v>
      </c>
      <c r="X6" s="244" t="s">
        <v>168</v>
      </c>
      <c r="Y6" s="251" t="s">
        <v>168</v>
      </c>
      <c r="Z6" s="251">
        <v>2800000</v>
      </c>
      <c r="AA6" s="251">
        <v>2500000</v>
      </c>
      <c r="AB6" s="251">
        <v>300000</v>
      </c>
      <c r="AC6">
        <f t="shared" si="0"/>
        <v>18254.480497043427</v>
      </c>
      <c r="AE6" s="236">
        <v>4</v>
      </c>
      <c r="AF6" s="236" t="s">
        <v>157</v>
      </c>
      <c r="AG6" s="237" t="s">
        <v>248</v>
      </c>
      <c r="AH6" s="238">
        <v>104</v>
      </c>
      <c r="AI6" s="238" t="s">
        <v>157</v>
      </c>
      <c r="AJ6" s="159">
        <v>37.200000000000003</v>
      </c>
      <c r="AK6" s="239">
        <v>400.42079999999999</v>
      </c>
      <c r="AL6" s="240">
        <v>440.46288000000004</v>
      </c>
      <c r="AM6" s="243" t="s">
        <v>168</v>
      </c>
      <c r="AN6" s="250" t="s">
        <v>168</v>
      </c>
      <c r="AO6" s="250">
        <v>6286500</v>
      </c>
      <c r="AP6" s="250">
        <v>4487770</v>
      </c>
      <c r="AQ6" s="250">
        <v>1798730</v>
      </c>
    </row>
    <row r="7" spans="1:43" ht="16.5" x14ac:dyDescent="0.3">
      <c r="A7" s="148">
        <v>5</v>
      </c>
      <c r="B7" s="148" t="s">
        <v>34</v>
      </c>
      <c r="C7" s="149" t="s">
        <v>216</v>
      </c>
      <c r="D7" s="150">
        <v>404</v>
      </c>
      <c r="E7" s="150" t="s">
        <v>254</v>
      </c>
      <c r="F7" s="241">
        <v>66.650000000000006</v>
      </c>
      <c r="G7" s="241">
        <v>717.42060000000004</v>
      </c>
      <c r="H7" s="242">
        <v>789.16266000000007</v>
      </c>
      <c r="I7" s="150" t="s">
        <v>211</v>
      </c>
      <c r="J7" s="242" t="s">
        <v>168</v>
      </c>
      <c r="K7" s="242">
        <v>16245103</v>
      </c>
      <c r="L7" s="251">
        <v>5000000</v>
      </c>
      <c r="M7" s="251">
        <v>11245103</v>
      </c>
      <c r="P7" s="236">
        <v>5</v>
      </c>
      <c r="Q7" s="236" t="s">
        <v>156</v>
      </c>
      <c r="R7" s="237" t="s">
        <v>31</v>
      </c>
      <c r="S7" s="238">
        <v>6</v>
      </c>
      <c r="T7" s="238" t="s">
        <v>156</v>
      </c>
      <c r="U7" s="159">
        <v>13.55</v>
      </c>
      <c r="V7" s="239">
        <v>145.85220000000001</v>
      </c>
      <c r="W7" s="240">
        <v>160.43742000000003</v>
      </c>
      <c r="X7" s="243" t="s">
        <v>168</v>
      </c>
      <c r="Y7" s="250" t="s">
        <v>168</v>
      </c>
      <c r="Z7" s="250">
        <v>2640000</v>
      </c>
      <c r="AA7" s="250">
        <v>2640000</v>
      </c>
      <c r="AB7" s="250">
        <v>0</v>
      </c>
      <c r="AC7">
        <f t="shared" si="0"/>
        <v>18100.515453315067</v>
      </c>
      <c r="AE7" s="148">
        <v>5</v>
      </c>
      <c r="AF7" s="148" t="s">
        <v>157</v>
      </c>
      <c r="AG7" s="149" t="s">
        <v>248</v>
      </c>
      <c r="AH7" s="150">
        <v>107</v>
      </c>
      <c r="AI7" s="150" t="s">
        <v>157</v>
      </c>
      <c r="AJ7" s="241">
        <v>42.77</v>
      </c>
      <c r="AK7" s="241">
        <v>460.37628000000001</v>
      </c>
      <c r="AL7" s="242">
        <v>506.41390800000005</v>
      </c>
      <c r="AM7" s="244" t="s">
        <v>167</v>
      </c>
      <c r="AN7" s="251" t="s">
        <v>168</v>
      </c>
      <c r="AO7" s="251">
        <v>8697000</v>
      </c>
      <c r="AP7" s="251">
        <v>404410</v>
      </c>
      <c r="AQ7" s="251">
        <v>8292590</v>
      </c>
    </row>
    <row r="8" spans="1:43" ht="16.5" x14ac:dyDescent="0.3">
      <c r="A8" s="236">
        <v>6</v>
      </c>
      <c r="B8" s="236" t="s">
        <v>34</v>
      </c>
      <c r="C8" s="237" t="s">
        <v>219</v>
      </c>
      <c r="D8" s="238">
        <v>703</v>
      </c>
      <c r="E8" s="238" t="s">
        <v>174</v>
      </c>
      <c r="F8" s="159">
        <v>66.650000000000006</v>
      </c>
      <c r="G8" s="239">
        <v>717.42060000000004</v>
      </c>
      <c r="H8" s="240">
        <v>789.16266000000007</v>
      </c>
      <c r="I8" s="238" t="s">
        <v>168</v>
      </c>
      <c r="J8" s="240" t="s">
        <v>168</v>
      </c>
      <c r="K8" s="240">
        <v>10990000</v>
      </c>
      <c r="L8" s="250">
        <v>10957250</v>
      </c>
      <c r="M8" s="250">
        <v>32750</v>
      </c>
      <c r="P8" s="148">
        <v>6</v>
      </c>
      <c r="Q8" s="148" t="s">
        <v>156</v>
      </c>
      <c r="R8" s="149" t="s">
        <v>31</v>
      </c>
      <c r="S8" s="150">
        <v>7</v>
      </c>
      <c r="T8" s="150" t="s">
        <v>156</v>
      </c>
      <c r="U8" s="241">
        <v>14.02</v>
      </c>
      <c r="V8" s="241">
        <v>150.91127999999998</v>
      </c>
      <c r="W8" s="242">
        <v>166.00240799999997</v>
      </c>
      <c r="X8" s="244" t="s">
        <v>168</v>
      </c>
      <c r="Y8" s="251" t="s">
        <v>168</v>
      </c>
      <c r="Z8" s="251">
        <v>2491500</v>
      </c>
      <c r="AA8" s="251">
        <v>2491500</v>
      </c>
      <c r="AB8" s="251">
        <v>0</v>
      </c>
      <c r="AC8">
        <f t="shared" si="0"/>
        <v>16509.700268926223</v>
      </c>
      <c r="AE8" s="236">
        <v>6</v>
      </c>
      <c r="AF8" s="236" t="s">
        <v>157</v>
      </c>
      <c r="AG8" s="237" t="s">
        <v>248</v>
      </c>
      <c r="AH8" s="238">
        <v>108</v>
      </c>
      <c r="AI8" s="238" t="s">
        <v>157</v>
      </c>
      <c r="AJ8" s="239">
        <v>35.799999999999997</v>
      </c>
      <c r="AK8" s="239">
        <v>385.35119999999995</v>
      </c>
      <c r="AL8" s="240">
        <v>423.88631999999996</v>
      </c>
      <c r="AM8" s="243" t="s">
        <v>167</v>
      </c>
      <c r="AN8" s="250" t="s">
        <v>168</v>
      </c>
      <c r="AO8" s="250">
        <v>6121500</v>
      </c>
      <c r="AP8" s="250">
        <v>2521500</v>
      </c>
      <c r="AQ8" s="250">
        <v>3600000</v>
      </c>
    </row>
    <row r="9" spans="1:43" ht="16.5" x14ac:dyDescent="0.3">
      <c r="A9" s="148">
        <v>7</v>
      </c>
      <c r="B9" s="148" t="s">
        <v>34</v>
      </c>
      <c r="C9" s="149" t="s">
        <v>220</v>
      </c>
      <c r="D9" s="150">
        <v>808</v>
      </c>
      <c r="E9" s="150" t="s">
        <v>172</v>
      </c>
      <c r="F9" s="241">
        <v>50.84</v>
      </c>
      <c r="G9" s="241">
        <v>547.24176</v>
      </c>
      <c r="H9" s="242">
        <v>601.96593600000006</v>
      </c>
      <c r="I9" s="150" t="s">
        <v>168</v>
      </c>
      <c r="J9" s="242" t="s">
        <v>168</v>
      </c>
      <c r="K9" s="242">
        <v>11999790</v>
      </c>
      <c r="L9" s="251">
        <v>6719893</v>
      </c>
      <c r="M9" s="251">
        <v>5279897</v>
      </c>
      <c r="P9" s="236">
        <v>7</v>
      </c>
      <c r="Q9" s="236" t="s">
        <v>156</v>
      </c>
      <c r="R9" s="237" t="s">
        <v>31</v>
      </c>
      <c r="S9" s="238">
        <v>8</v>
      </c>
      <c r="T9" s="238" t="s">
        <v>156</v>
      </c>
      <c r="U9" s="159">
        <v>52.53</v>
      </c>
      <c r="V9" s="239">
        <v>565.43291999999997</v>
      </c>
      <c r="W9" s="240">
        <v>621.97621200000003</v>
      </c>
      <c r="X9" s="243" t="s">
        <v>168</v>
      </c>
      <c r="Y9" s="250" t="s">
        <v>168</v>
      </c>
      <c r="Z9" s="250">
        <v>13000000</v>
      </c>
      <c r="AA9" s="250">
        <v>11698000</v>
      </c>
      <c r="AB9" s="250">
        <v>1302000</v>
      </c>
      <c r="AC9">
        <f t="shared" si="0"/>
        <v>22991.23298303891</v>
      </c>
      <c r="AE9" s="148">
        <v>7</v>
      </c>
      <c r="AF9" s="148" t="s">
        <v>157</v>
      </c>
      <c r="AG9" s="149" t="s">
        <v>248</v>
      </c>
      <c r="AH9" s="150">
        <v>110</v>
      </c>
      <c r="AI9" s="150" t="s">
        <v>157</v>
      </c>
      <c r="AJ9" s="159">
        <v>85.7</v>
      </c>
      <c r="AK9" s="241">
        <v>922.47479999999996</v>
      </c>
      <c r="AL9" s="242">
        <v>1014.7222800000001</v>
      </c>
      <c r="AM9" s="244" t="s">
        <v>168</v>
      </c>
      <c r="AN9" s="251" t="s">
        <v>168</v>
      </c>
      <c r="AO9" s="251">
        <v>15500000</v>
      </c>
      <c r="AP9" s="251">
        <v>2475000</v>
      </c>
      <c r="AQ9" s="251">
        <v>13025000</v>
      </c>
    </row>
    <row r="10" spans="1:43" ht="16.5" x14ac:dyDescent="0.3">
      <c r="A10" s="236">
        <v>8</v>
      </c>
      <c r="B10" s="236" t="s">
        <v>34</v>
      </c>
      <c r="C10" s="237" t="s">
        <v>221</v>
      </c>
      <c r="D10" s="238">
        <v>903</v>
      </c>
      <c r="E10" s="238" t="s">
        <v>174</v>
      </c>
      <c r="F10" s="159">
        <v>73.91</v>
      </c>
      <c r="G10" s="239">
        <v>795.56723999999997</v>
      </c>
      <c r="H10" s="240">
        <v>875.123964</v>
      </c>
      <c r="I10" s="238" t="s">
        <v>168</v>
      </c>
      <c r="J10" s="240" t="s">
        <v>168</v>
      </c>
      <c r="K10" s="240">
        <v>17887500</v>
      </c>
      <c r="L10" s="250">
        <v>10553985</v>
      </c>
      <c r="M10" s="250">
        <v>7333515</v>
      </c>
      <c r="P10" s="148">
        <v>8</v>
      </c>
      <c r="Q10" s="148" t="s">
        <v>156</v>
      </c>
      <c r="R10" s="149" t="s">
        <v>31</v>
      </c>
      <c r="S10" s="150">
        <v>11</v>
      </c>
      <c r="T10" s="150" t="s">
        <v>156</v>
      </c>
      <c r="U10" s="159">
        <v>24.2</v>
      </c>
      <c r="V10" s="241">
        <v>260.48879999999997</v>
      </c>
      <c r="W10" s="242">
        <v>286.53767999999997</v>
      </c>
      <c r="X10" s="244" t="s">
        <v>168</v>
      </c>
      <c r="Y10" s="251" t="s">
        <v>168</v>
      </c>
      <c r="Z10" s="251">
        <v>4306500</v>
      </c>
      <c r="AA10" s="251">
        <v>3000000</v>
      </c>
      <c r="AB10" s="251">
        <v>1306500</v>
      </c>
      <c r="AC10">
        <f t="shared" si="0"/>
        <v>16532.380662815449</v>
      </c>
      <c r="AE10" s="236">
        <v>8</v>
      </c>
      <c r="AF10" s="236" t="s">
        <v>157</v>
      </c>
      <c r="AG10" s="237" t="s">
        <v>248</v>
      </c>
      <c r="AH10" s="238">
        <v>111</v>
      </c>
      <c r="AI10" s="238" t="s">
        <v>157</v>
      </c>
      <c r="AJ10" s="159">
        <v>85.42</v>
      </c>
      <c r="AK10" s="239">
        <v>919.46087999999997</v>
      </c>
      <c r="AL10" s="240">
        <v>1011.406968</v>
      </c>
      <c r="AM10" s="243" t="s">
        <v>168</v>
      </c>
      <c r="AN10" s="250" t="s">
        <v>168</v>
      </c>
      <c r="AO10" s="250">
        <v>10912000</v>
      </c>
      <c r="AP10" s="250">
        <v>100000</v>
      </c>
      <c r="AQ10" s="250">
        <v>10812000</v>
      </c>
    </row>
    <row r="11" spans="1:43" ht="16.5" x14ac:dyDescent="0.3">
      <c r="A11" s="148">
        <v>9</v>
      </c>
      <c r="B11" s="148" t="s">
        <v>34</v>
      </c>
      <c r="C11" s="149" t="s">
        <v>222</v>
      </c>
      <c r="D11" s="150">
        <v>1003</v>
      </c>
      <c r="E11" s="150" t="s">
        <v>174</v>
      </c>
      <c r="F11" s="241">
        <v>73.91</v>
      </c>
      <c r="G11" s="241">
        <v>795.56723999999997</v>
      </c>
      <c r="H11" s="242">
        <v>875.123964</v>
      </c>
      <c r="I11" s="238" t="s">
        <v>168</v>
      </c>
      <c r="J11" s="242" t="s">
        <v>168</v>
      </c>
      <c r="K11" s="242">
        <v>14707500</v>
      </c>
      <c r="L11" s="251">
        <v>9229028</v>
      </c>
      <c r="M11" s="251">
        <v>5478472</v>
      </c>
      <c r="P11" s="236">
        <v>9</v>
      </c>
      <c r="Q11" s="236" t="s">
        <v>156</v>
      </c>
      <c r="R11" s="237" t="s">
        <v>31</v>
      </c>
      <c r="S11" s="238">
        <v>12</v>
      </c>
      <c r="T11" s="238" t="s">
        <v>156</v>
      </c>
      <c r="U11" s="159">
        <v>76.790000000000006</v>
      </c>
      <c r="V11" s="239">
        <v>826.56756000000007</v>
      </c>
      <c r="W11" s="240">
        <v>909.22431600000016</v>
      </c>
      <c r="X11" s="243" t="s">
        <v>168</v>
      </c>
      <c r="Y11" s="250" t="s">
        <v>168</v>
      </c>
      <c r="Z11" s="250">
        <v>13563000</v>
      </c>
      <c r="AA11" s="250">
        <v>7385474</v>
      </c>
      <c r="AB11" s="250">
        <v>6177526</v>
      </c>
      <c r="AC11">
        <f t="shared" si="0"/>
        <v>16408.822044746106</v>
      </c>
      <c r="AE11" s="148">
        <v>9</v>
      </c>
      <c r="AF11" s="148" t="s">
        <v>157</v>
      </c>
      <c r="AG11" s="149" t="s">
        <v>248</v>
      </c>
      <c r="AH11" s="150">
        <v>112</v>
      </c>
      <c r="AI11" s="150" t="s">
        <v>157</v>
      </c>
      <c r="AJ11" s="159">
        <v>134.05000000000001</v>
      </c>
      <c r="AK11" s="241">
        <v>1442.9141999999999</v>
      </c>
      <c r="AL11" s="242">
        <v>1587.20562</v>
      </c>
      <c r="AM11" s="244" t="s">
        <v>168</v>
      </c>
      <c r="AN11" s="251" t="s">
        <v>168</v>
      </c>
      <c r="AO11" s="251">
        <v>23328000</v>
      </c>
      <c r="AP11" s="251">
        <v>100000</v>
      </c>
      <c r="AQ11" s="251">
        <v>23228000</v>
      </c>
    </row>
    <row r="12" spans="1:43" ht="16.5" x14ac:dyDescent="0.3">
      <c r="A12" s="236">
        <v>10</v>
      </c>
      <c r="B12" s="236" t="s">
        <v>34</v>
      </c>
      <c r="C12" s="237" t="s">
        <v>223</v>
      </c>
      <c r="D12" s="238">
        <v>1103</v>
      </c>
      <c r="E12" s="238" t="s">
        <v>174</v>
      </c>
      <c r="F12" s="159">
        <v>73.91</v>
      </c>
      <c r="G12" s="239">
        <v>795.56723999999997</v>
      </c>
      <c r="H12" s="240">
        <v>875.123964</v>
      </c>
      <c r="I12" s="238" t="s">
        <v>168</v>
      </c>
      <c r="J12" s="240" t="s">
        <v>168</v>
      </c>
      <c r="K12" s="240">
        <v>18055125</v>
      </c>
      <c r="L12" s="250">
        <v>4601460</v>
      </c>
      <c r="M12" s="250">
        <v>13453665</v>
      </c>
      <c r="P12" s="148">
        <v>10</v>
      </c>
      <c r="Q12" s="148" t="s">
        <v>156</v>
      </c>
      <c r="R12" s="149" t="s">
        <v>31</v>
      </c>
      <c r="S12" s="150">
        <v>13</v>
      </c>
      <c r="T12" s="150" t="s">
        <v>156</v>
      </c>
      <c r="U12" s="159">
        <v>53.3</v>
      </c>
      <c r="V12" s="241">
        <v>573.72119999999995</v>
      </c>
      <c r="W12" s="242">
        <v>631.09331999999995</v>
      </c>
      <c r="X12" s="244" t="s">
        <v>168</v>
      </c>
      <c r="Y12" s="251" t="s">
        <v>168</v>
      </c>
      <c r="Z12" s="251">
        <v>8860500</v>
      </c>
      <c r="AA12" s="251">
        <v>3273439</v>
      </c>
      <c r="AB12" s="251">
        <v>5587061</v>
      </c>
      <c r="AC12">
        <f t="shared" si="0"/>
        <v>15443.912478744032</v>
      </c>
      <c r="AE12" s="236">
        <v>10</v>
      </c>
      <c r="AF12" s="236" t="s">
        <v>157</v>
      </c>
      <c r="AG12" s="237" t="s">
        <v>248</v>
      </c>
      <c r="AH12" s="238">
        <v>113</v>
      </c>
      <c r="AI12" s="238" t="s">
        <v>157</v>
      </c>
      <c r="AJ12" s="159">
        <v>73.66</v>
      </c>
      <c r="AK12" s="239">
        <v>792.87623999999994</v>
      </c>
      <c r="AL12" s="240">
        <v>872.16386399999999</v>
      </c>
      <c r="AM12" s="243" t="s">
        <v>168</v>
      </c>
      <c r="AN12" s="250" t="s">
        <v>168</v>
      </c>
      <c r="AO12" s="250">
        <v>11640000</v>
      </c>
      <c r="AP12" s="250">
        <v>11640000</v>
      </c>
      <c r="AQ12" s="250">
        <v>0</v>
      </c>
    </row>
    <row r="13" spans="1:43" ht="16.5" x14ac:dyDescent="0.3">
      <c r="A13" s="148">
        <v>11</v>
      </c>
      <c r="B13" s="148" t="s">
        <v>34</v>
      </c>
      <c r="C13" s="149" t="s">
        <v>223</v>
      </c>
      <c r="D13" s="150">
        <v>1104</v>
      </c>
      <c r="E13" s="150" t="s">
        <v>174</v>
      </c>
      <c r="F13" s="159">
        <v>73.91</v>
      </c>
      <c r="G13" s="241">
        <v>795.56723999999997</v>
      </c>
      <c r="H13" s="242">
        <v>875.123964</v>
      </c>
      <c r="I13" s="150" t="s">
        <v>168</v>
      </c>
      <c r="J13" s="242" t="s">
        <v>168</v>
      </c>
      <c r="K13" s="242">
        <v>13681950</v>
      </c>
      <c r="L13" s="251">
        <v>8053844</v>
      </c>
      <c r="M13" s="251">
        <v>5628106</v>
      </c>
      <c r="P13" s="236">
        <v>11</v>
      </c>
      <c r="Q13" s="236" t="s">
        <v>156</v>
      </c>
      <c r="R13" s="237" t="s">
        <v>31</v>
      </c>
      <c r="S13" s="238">
        <v>14</v>
      </c>
      <c r="T13" s="238" t="s">
        <v>156</v>
      </c>
      <c r="U13" s="159">
        <v>53</v>
      </c>
      <c r="V13" s="239">
        <v>570.49199999999996</v>
      </c>
      <c r="W13" s="240">
        <v>627.5412</v>
      </c>
      <c r="X13" s="243" t="s">
        <v>168</v>
      </c>
      <c r="Y13" s="250" t="s">
        <v>168</v>
      </c>
      <c r="Z13" s="250">
        <v>9322500</v>
      </c>
      <c r="AA13" s="250">
        <v>2514820</v>
      </c>
      <c r="AB13" s="250">
        <v>6807680</v>
      </c>
      <c r="AC13">
        <f t="shared" si="0"/>
        <v>16341.158158221326</v>
      </c>
      <c r="AE13" s="148">
        <v>11</v>
      </c>
      <c r="AF13" s="148" t="s">
        <v>157</v>
      </c>
      <c r="AG13" s="149" t="s">
        <v>250</v>
      </c>
      <c r="AH13" s="150">
        <v>202</v>
      </c>
      <c r="AI13" s="150" t="s">
        <v>157</v>
      </c>
      <c r="AJ13" s="159">
        <v>45</v>
      </c>
      <c r="AK13" s="241">
        <v>484.38</v>
      </c>
      <c r="AL13" s="242">
        <v>532.81799999999998</v>
      </c>
      <c r="AM13" s="242" t="s">
        <v>168</v>
      </c>
      <c r="AN13" s="242" t="s">
        <v>168</v>
      </c>
      <c r="AO13" s="242">
        <v>11750000</v>
      </c>
      <c r="AP13" s="251">
        <v>7150000</v>
      </c>
      <c r="AQ13" s="251">
        <v>4600000</v>
      </c>
    </row>
    <row r="14" spans="1:43" ht="16.5" x14ac:dyDescent="0.3">
      <c r="A14" s="236">
        <v>12</v>
      </c>
      <c r="B14" s="236" t="s">
        <v>34</v>
      </c>
      <c r="C14" s="237" t="s">
        <v>224</v>
      </c>
      <c r="D14" s="238">
        <v>1203</v>
      </c>
      <c r="E14" s="238" t="s">
        <v>174</v>
      </c>
      <c r="F14" s="159">
        <v>73.91</v>
      </c>
      <c r="G14" s="239">
        <v>795.56723999999997</v>
      </c>
      <c r="H14" s="240">
        <v>875.123964</v>
      </c>
      <c r="I14" s="238" t="s">
        <v>168</v>
      </c>
      <c r="J14" s="240" t="s">
        <v>168</v>
      </c>
      <c r="K14" s="240">
        <v>19080000</v>
      </c>
      <c r="L14" s="250">
        <v>11450700</v>
      </c>
      <c r="M14" s="250">
        <v>7629300</v>
      </c>
      <c r="P14" s="148">
        <v>12</v>
      </c>
      <c r="Q14" s="148" t="s">
        <v>156</v>
      </c>
      <c r="R14" s="149" t="s">
        <v>31</v>
      </c>
      <c r="S14" s="150">
        <v>15</v>
      </c>
      <c r="T14" s="150" t="s">
        <v>156</v>
      </c>
      <c r="U14" s="241">
        <v>18</v>
      </c>
      <c r="V14" s="241">
        <v>193.75199999999998</v>
      </c>
      <c r="W14" s="242">
        <v>213.12719999999999</v>
      </c>
      <c r="X14" s="243" t="s">
        <v>168</v>
      </c>
      <c r="Y14" s="251" t="s">
        <v>168</v>
      </c>
      <c r="Z14" s="251">
        <v>9547500</v>
      </c>
      <c r="AA14" s="251">
        <v>216000</v>
      </c>
      <c r="AB14" s="251">
        <v>9331500</v>
      </c>
      <c r="AC14">
        <f t="shared" si="0"/>
        <v>49276.910689954173</v>
      </c>
      <c r="AE14" s="236">
        <v>12</v>
      </c>
      <c r="AF14" s="236" t="s">
        <v>157</v>
      </c>
      <c r="AG14" s="237" t="s">
        <v>250</v>
      </c>
      <c r="AH14" s="238">
        <v>203</v>
      </c>
      <c r="AI14" s="238" t="s">
        <v>157</v>
      </c>
      <c r="AJ14" s="239">
        <v>44.97</v>
      </c>
      <c r="AK14" s="239">
        <v>484.05707999999998</v>
      </c>
      <c r="AL14" s="240">
        <v>532.46278800000005</v>
      </c>
      <c r="AM14" s="240" t="s">
        <v>167</v>
      </c>
      <c r="AN14" s="240" t="s">
        <v>168</v>
      </c>
      <c r="AO14" s="240">
        <v>7500000</v>
      </c>
      <c r="AP14" s="250">
        <v>200000</v>
      </c>
      <c r="AQ14" s="250">
        <v>7300000</v>
      </c>
    </row>
    <row r="15" spans="1:43" ht="16.5" x14ac:dyDescent="0.3">
      <c r="A15" s="148">
        <v>13</v>
      </c>
      <c r="B15" s="148" t="s">
        <v>34</v>
      </c>
      <c r="C15" s="149" t="s">
        <v>224</v>
      </c>
      <c r="D15" s="150">
        <v>1204</v>
      </c>
      <c r="E15" s="150" t="s">
        <v>174</v>
      </c>
      <c r="F15" s="159">
        <v>73.91</v>
      </c>
      <c r="G15" s="241">
        <v>795.56723999999997</v>
      </c>
      <c r="H15" s="242">
        <v>875.123964</v>
      </c>
      <c r="I15" s="150" t="s">
        <v>168</v>
      </c>
      <c r="J15" s="242" t="s">
        <v>168</v>
      </c>
      <c r="K15" s="242">
        <v>14707500</v>
      </c>
      <c r="L15" s="251">
        <v>735375</v>
      </c>
      <c r="M15" s="251">
        <v>13972125</v>
      </c>
      <c r="P15" s="236">
        <v>13</v>
      </c>
      <c r="Q15" s="236" t="s">
        <v>156</v>
      </c>
      <c r="R15" s="237" t="s">
        <v>31</v>
      </c>
      <c r="S15" s="238">
        <v>16</v>
      </c>
      <c r="T15" s="238" t="s">
        <v>156</v>
      </c>
      <c r="U15" s="159">
        <v>14.95</v>
      </c>
      <c r="V15" s="239">
        <v>160.92179999999999</v>
      </c>
      <c r="W15" s="240">
        <v>177.01398</v>
      </c>
      <c r="X15" s="243" t="s">
        <v>168</v>
      </c>
      <c r="Y15" s="250" t="s">
        <v>168</v>
      </c>
      <c r="Z15" s="250">
        <v>6192000</v>
      </c>
      <c r="AA15" s="250">
        <v>6192000</v>
      </c>
      <c r="AB15" s="250">
        <v>0</v>
      </c>
      <c r="AC15">
        <f t="shared" si="0"/>
        <v>38478.316797351261</v>
      </c>
      <c r="AE15" s="148">
        <v>13</v>
      </c>
      <c r="AF15" s="148" t="s">
        <v>157</v>
      </c>
      <c r="AG15" s="149" t="s">
        <v>250</v>
      </c>
      <c r="AH15" s="150">
        <v>204</v>
      </c>
      <c r="AI15" s="150" t="s">
        <v>157</v>
      </c>
      <c r="AJ15" s="159">
        <v>68.36</v>
      </c>
      <c r="AK15" s="241">
        <v>735.8270399999999</v>
      </c>
      <c r="AL15" s="242">
        <v>809.40974399999993</v>
      </c>
      <c r="AM15" s="242" t="s">
        <v>168</v>
      </c>
      <c r="AN15" s="242" t="s">
        <v>168</v>
      </c>
      <c r="AO15" s="242">
        <v>11025000</v>
      </c>
      <c r="AP15" s="251">
        <v>0</v>
      </c>
      <c r="AQ15" s="251">
        <v>11025000</v>
      </c>
    </row>
    <row r="16" spans="1:43" ht="16.5" x14ac:dyDescent="0.3">
      <c r="A16" s="236">
        <v>14</v>
      </c>
      <c r="B16" s="168" t="s">
        <v>34</v>
      </c>
      <c r="C16" s="169" t="s">
        <v>224</v>
      </c>
      <c r="D16" s="168">
        <v>1208</v>
      </c>
      <c r="E16" s="168" t="s">
        <v>172</v>
      </c>
      <c r="F16" s="159">
        <v>54.17</v>
      </c>
      <c r="G16" s="159">
        <v>583.08587999999997</v>
      </c>
      <c r="H16" s="170">
        <v>641.39446800000007</v>
      </c>
      <c r="I16" s="248" t="s">
        <v>211</v>
      </c>
      <c r="J16" s="170" t="s">
        <v>168</v>
      </c>
      <c r="K16" s="170">
        <v>9166950</v>
      </c>
      <c r="L16" s="172">
        <v>4125128</v>
      </c>
      <c r="M16" s="250">
        <v>5041822</v>
      </c>
      <c r="P16" s="148">
        <v>14</v>
      </c>
      <c r="Q16" s="148" t="s">
        <v>156</v>
      </c>
      <c r="R16" s="149" t="s">
        <v>31</v>
      </c>
      <c r="S16" s="150">
        <v>18</v>
      </c>
      <c r="T16" s="150" t="s">
        <v>156</v>
      </c>
      <c r="U16" s="159">
        <v>16</v>
      </c>
      <c r="V16" s="241">
        <v>172.22399999999999</v>
      </c>
      <c r="W16" s="242">
        <v>189.44640000000001</v>
      </c>
      <c r="X16" s="244" t="s">
        <v>168</v>
      </c>
      <c r="Y16" s="251" t="s">
        <v>168</v>
      </c>
      <c r="Z16" s="251">
        <v>5250000</v>
      </c>
      <c r="AA16" s="251">
        <v>4138615</v>
      </c>
      <c r="AB16" s="251">
        <v>1111385</v>
      </c>
      <c r="AC16">
        <f t="shared" si="0"/>
        <v>30483.556298773692</v>
      </c>
      <c r="AE16" s="236">
        <v>14</v>
      </c>
      <c r="AF16" s="236" t="s">
        <v>157</v>
      </c>
      <c r="AG16" s="237" t="s">
        <v>250</v>
      </c>
      <c r="AH16" s="238">
        <v>205</v>
      </c>
      <c r="AI16" s="238" t="s">
        <v>157</v>
      </c>
      <c r="AJ16" s="159">
        <v>66.45</v>
      </c>
      <c r="AK16" s="239">
        <v>715.26779999999997</v>
      </c>
      <c r="AL16" s="240">
        <v>786.79458</v>
      </c>
      <c r="AM16" s="240" t="s">
        <v>168</v>
      </c>
      <c r="AN16" s="240" t="s">
        <v>168</v>
      </c>
      <c r="AO16" s="240">
        <v>17787000</v>
      </c>
      <c r="AP16" s="250">
        <v>10412075</v>
      </c>
      <c r="AQ16" s="250">
        <v>7374925</v>
      </c>
    </row>
    <row r="17" spans="1:43" ht="16.5" x14ac:dyDescent="0.3">
      <c r="A17" s="148">
        <v>15</v>
      </c>
      <c r="B17" s="148" t="s">
        <v>34</v>
      </c>
      <c r="C17" s="149" t="s">
        <v>225</v>
      </c>
      <c r="D17" s="150">
        <v>1302</v>
      </c>
      <c r="E17" s="150" t="s">
        <v>172</v>
      </c>
      <c r="F17" s="241">
        <v>44.07</v>
      </c>
      <c r="G17" s="241">
        <v>474.36947999999995</v>
      </c>
      <c r="H17" s="242">
        <v>521.80642799999998</v>
      </c>
      <c r="I17" s="150" t="s">
        <v>211</v>
      </c>
      <c r="J17" s="242" t="s">
        <v>168</v>
      </c>
      <c r="K17" s="242">
        <v>9494200</v>
      </c>
      <c r="L17" s="251">
        <v>3370850</v>
      </c>
      <c r="M17" s="251">
        <v>6123350</v>
      </c>
      <c r="P17" s="236">
        <v>15</v>
      </c>
      <c r="Q17" s="236" t="s">
        <v>156</v>
      </c>
      <c r="R17" s="237" t="s">
        <v>31</v>
      </c>
      <c r="S17" s="238">
        <v>19</v>
      </c>
      <c r="T17" s="238" t="s">
        <v>156</v>
      </c>
      <c r="U17" s="159">
        <v>13.88</v>
      </c>
      <c r="V17" s="239">
        <v>149.40432000000001</v>
      </c>
      <c r="W17" s="240">
        <v>164.34475200000003</v>
      </c>
      <c r="X17" s="243" t="s">
        <v>168</v>
      </c>
      <c r="Y17" s="250" t="s">
        <v>168</v>
      </c>
      <c r="Z17" s="250">
        <v>2524500</v>
      </c>
      <c r="AA17" s="250">
        <v>1587440</v>
      </c>
      <c r="AB17" s="250">
        <v>937060</v>
      </c>
      <c r="AC17">
        <f t="shared" si="0"/>
        <v>16897.101770551213</v>
      </c>
      <c r="AE17" s="148">
        <v>15</v>
      </c>
      <c r="AF17" s="148" t="s">
        <v>157</v>
      </c>
      <c r="AG17" s="149" t="s">
        <v>250</v>
      </c>
      <c r="AH17" s="150">
        <v>206</v>
      </c>
      <c r="AI17" s="150" t="s">
        <v>157</v>
      </c>
      <c r="AJ17" s="241">
        <v>35.6</v>
      </c>
      <c r="AK17" s="241">
        <v>383.19839999999999</v>
      </c>
      <c r="AL17" s="242">
        <v>421.51824000000005</v>
      </c>
      <c r="AM17" s="242" t="s">
        <v>167</v>
      </c>
      <c r="AN17" s="242" t="s">
        <v>168</v>
      </c>
      <c r="AO17" s="242">
        <v>6144000</v>
      </c>
      <c r="AP17" s="251">
        <v>79961</v>
      </c>
      <c r="AQ17" s="251">
        <v>6064039</v>
      </c>
    </row>
    <row r="18" spans="1:43" ht="16.5" x14ac:dyDescent="0.3">
      <c r="A18" s="236">
        <v>16</v>
      </c>
      <c r="B18" s="236" t="s">
        <v>34</v>
      </c>
      <c r="C18" s="237" t="s">
        <v>225</v>
      </c>
      <c r="D18" s="238">
        <v>1303</v>
      </c>
      <c r="E18" s="238" t="s">
        <v>174</v>
      </c>
      <c r="F18" s="159">
        <v>73.91</v>
      </c>
      <c r="G18" s="239">
        <v>795.56723999999997</v>
      </c>
      <c r="H18" s="240">
        <v>875.123964</v>
      </c>
      <c r="I18" s="238" t="s">
        <v>168</v>
      </c>
      <c r="J18" s="240" t="s">
        <v>168</v>
      </c>
      <c r="K18" s="240">
        <v>18374040</v>
      </c>
      <c r="L18" s="250">
        <v>9540024</v>
      </c>
      <c r="M18" s="250">
        <v>8834016</v>
      </c>
      <c r="P18" s="148">
        <v>16</v>
      </c>
      <c r="Q18" s="148" t="s">
        <v>156</v>
      </c>
      <c r="R18" s="149" t="s">
        <v>31</v>
      </c>
      <c r="S18" s="150">
        <v>20</v>
      </c>
      <c r="T18" s="150" t="s">
        <v>156</v>
      </c>
      <c r="U18" s="159">
        <v>20.05</v>
      </c>
      <c r="V18" s="241">
        <v>215.81819999999999</v>
      </c>
      <c r="W18" s="242">
        <v>237.40002000000001</v>
      </c>
      <c r="X18" s="244" t="s">
        <v>168</v>
      </c>
      <c r="Y18" s="251" t="s">
        <v>168</v>
      </c>
      <c r="Z18" s="251">
        <v>3630000</v>
      </c>
      <c r="AA18" s="251">
        <v>0</v>
      </c>
      <c r="AB18" s="251">
        <v>3630000</v>
      </c>
      <c r="AC18">
        <f t="shared" si="0"/>
        <v>16819.712146612288</v>
      </c>
      <c r="AE18" s="236">
        <v>16</v>
      </c>
      <c r="AF18" s="236" t="s">
        <v>157</v>
      </c>
      <c r="AG18" s="237" t="s">
        <v>250</v>
      </c>
      <c r="AH18" s="238">
        <v>207</v>
      </c>
      <c r="AI18" s="238" t="s">
        <v>157</v>
      </c>
      <c r="AJ18" s="239">
        <v>42.95</v>
      </c>
      <c r="AK18" s="239">
        <v>462.31380000000001</v>
      </c>
      <c r="AL18" s="240">
        <v>508.54518000000007</v>
      </c>
      <c r="AM18" s="240" t="s">
        <v>167</v>
      </c>
      <c r="AN18" s="240" t="s">
        <v>168</v>
      </c>
      <c r="AO18" s="240">
        <v>10417000</v>
      </c>
      <c r="AP18" s="250">
        <v>135220</v>
      </c>
      <c r="AQ18" s="250">
        <v>10281780</v>
      </c>
    </row>
    <row r="19" spans="1:43" ht="16.5" x14ac:dyDescent="0.3">
      <c r="A19" s="148">
        <v>17</v>
      </c>
      <c r="B19" s="148" t="s">
        <v>34</v>
      </c>
      <c r="C19" s="149" t="s">
        <v>226</v>
      </c>
      <c r="D19" s="150">
        <v>1404</v>
      </c>
      <c r="E19" s="150" t="s">
        <v>174</v>
      </c>
      <c r="F19" s="159">
        <v>73.91</v>
      </c>
      <c r="G19" s="241">
        <v>795.56723999999997</v>
      </c>
      <c r="H19" s="242">
        <v>875.123964</v>
      </c>
      <c r="I19" s="150" t="s">
        <v>168</v>
      </c>
      <c r="J19" s="242" t="s">
        <v>168</v>
      </c>
      <c r="K19" s="242">
        <v>15025500</v>
      </c>
      <c r="L19" s="251">
        <v>8865045</v>
      </c>
      <c r="M19" s="251">
        <v>6160455</v>
      </c>
      <c r="P19" s="236">
        <v>17</v>
      </c>
      <c r="Q19" s="236" t="s">
        <v>156</v>
      </c>
      <c r="R19" s="237" t="s">
        <v>31</v>
      </c>
      <c r="S19" s="238">
        <v>21</v>
      </c>
      <c r="T19" s="238" t="s">
        <v>156</v>
      </c>
      <c r="U19" s="239">
        <v>19.670000000000002</v>
      </c>
      <c r="V19" s="239">
        <v>211.72788</v>
      </c>
      <c r="W19" s="240">
        <v>232.90066800000002</v>
      </c>
      <c r="X19" s="243" t="s">
        <v>168</v>
      </c>
      <c r="Y19" s="250" t="s">
        <v>168</v>
      </c>
      <c r="Z19" s="250">
        <v>3630000</v>
      </c>
      <c r="AA19" s="250">
        <v>3125500</v>
      </c>
      <c r="AB19" s="250">
        <v>504500</v>
      </c>
      <c r="AC19">
        <f t="shared" si="0"/>
        <v>17144.648120974904</v>
      </c>
      <c r="AE19" s="148">
        <v>17</v>
      </c>
      <c r="AF19" s="148" t="s">
        <v>157</v>
      </c>
      <c r="AG19" s="149" t="s">
        <v>250</v>
      </c>
      <c r="AH19" s="150">
        <v>209</v>
      </c>
      <c r="AI19" s="150" t="s">
        <v>157</v>
      </c>
      <c r="AJ19" s="241">
        <v>108.75</v>
      </c>
      <c r="AK19" s="241">
        <v>1170.585</v>
      </c>
      <c r="AL19" s="242">
        <v>1287.6435000000001</v>
      </c>
      <c r="AM19" s="242" t="s">
        <v>167</v>
      </c>
      <c r="AN19" s="242" t="s">
        <v>168</v>
      </c>
      <c r="AO19" s="242">
        <v>32367500</v>
      </c>
      <c r="AP19" s="251">
        <v>100000</v>
      </c>
      <c r="AQ19" s="251">
        <v>32267500</v>
      </c>
    </row>
    <row r="20" spans="1:43" ht="16.5" x14ac:dyDescent="0.3">
      <c r="A20" s="236">
        <v>18</v>
      </c>
      <c r="B20" s="236" t="s">
        <v>34</v>
      </c>
      <c r="C20" s="237" t="s">
        <v>228</v>
      </c>
      <c r="D20" s="238">
        <v>1603</v>
      </c>
      <c r="E20" s="238" t="s">
        <v>174</v>
      </c>
      <c r="F20" s="159">
        <v>73.91</v>
      </c>
      <c r="G20" s="239">
        <v>795.56723999999997</v>
      </c>
      <c r="H20" s="240">
        <v>875.123964</v>
      </c>
      <c r="I20" s="238" t="s">
        <v>168</v>
      </c>
      <c r="J20" s="240" t="s">
        <v>168</v>
      </c>
      <c r="K20" s="240">
        <v>17485000</v>
      </c>
      <c r="L20" s="250">
        <v>2363972</v>
      </c>
      <c r="M20" s="250">
        <v>15121028</v>
      </c>
      <c r="P20" s="148">
        <v>18</v>
      </c>
      <c r="Q20" s="148" t="s">
        <v>156</v>
      </c>
      <c r="R20" s="149" t="s">
        <v>249</v>
      </c>
      <c r="S20" s="150">
        <v>22</v>
      </c>
      <c r="T20" s="150" t="s">
        <v>156</v>
      </c>
      <c r="U20" s="241">
        <v>74.2</v>
      </c>
      <c r="V20" s="241">
        <v>798.68880000000001</v>
      </c>
      <c r="W20" s="242">
        <v>878.55768000000012</v>
      </c>
      <c r="X20" s="243" t="s">
        <v>168</v>
      </c>
      <c r="Y20" s="251" t="s">
        <v>168</v>
      </c>
      <c r="Z20" s="251">
        <v>18518000</v>
      </c>
      <c r="AA20" s="251">
        <v>1722174</v>
      </c>
      <c r="AB20" s="251">
        <v>16795826</v>
      </c>
      <c r="AC20">
        <f t="shared" si="0"/>
        <v>23185.50103619833</v>
      </c>
      <c r="AE20" s="236">
        <v>18</v>
      </c>
      <c r="AF20" s="236" t="s">
        <v>157</v>
      </c>
      <c r="AG20" s="237" t="s">
        <v>250</v>
      </c>
      <c r="AH20" s="238">
        <v>210</v>
      </c>
      <c r="AI20" s="238" t="s">
        <v>157</v>
      </c>
      <c r="AJ20" s="239">
        <v>118.52</v>
      </c>
      <c r="AK20" s="239">
        <v>1275.7492799999998</v>
      </c>
      <c r="AL20" s="240">
        <v>1403.3242079999998</v>
      </c>
      <c r="AM20" s="240" t="s">
        <v>167</v>
      </c>
      <c r="AN20" s="240" t="s">
        <v>168</v>
      </c>
      <c r="AO20" s="240">
        <v>35667500</v>
      </c>
      <c r="AP20" s="250">
        <v>100000</v>
      </c>
      <c r="AQ20" s="250">
        <v>35567500</v>
      </c>
    </row>
    <row r="21" spans="1:43" ht="16.5" x14ac:dyDescent="0.3">
      <c r="A21" s="148">
        <v>19</v>
      </c>
      <c r="B21" s="148" t="s">
        <v>34</v>
      </c>
      <c r="C21" s="149" t="s">
        <v>228</v>
      </c>
      <c r="D21" s="150">
        <v>1604</v>
      </c>
      <c r="E21" s="150" t="s">
        <v>174</v>
      </c>
      <c r="F21" s="159">
        <v>73.91</v>
      </c>
      <c r="G21" s="241">
        <v>795.56723999999997</v>
      </c>
      <c r="H21" s="242">
        <v>875.123964</v>
      </c>
      <c r="I21" s="150" t="s">
        <v>168</v>
      </c>
      <c r="J21" s="242" t="s">
        <v>168</v>
      </c>
      <c r="K21" s="242">
        <v>15407100</v>
      </c>
      <c r="L21" s="251">
        <v>6933195</v>
      </c>
      <c r="M21" s="251">
        <v>8473905</v>
      </c>
      <c r="P21" s="236">
        <v>19</v>
      </c>
      <c r="Q21" s="236" t="s">
        <v>156</v>
      </c>
      <c r="R21" s="237" t="s">
        <v>249</v>
      </c>
      <c r="S21" s="238">
        <v>23</v>
      </c>
      <c r="T21" s="238" t="s">
        <v>156</v>
      </c>
      <c r="U21" s="159">
        <v>74.2</v>
      </c>
      <c r="V21" s="239">
        <v>798.68880000000001</v>
      </c>
      <c r="W21" s="240">
        <v>878.55768000000012</v>
      </c>
      <c r="X21" s="243" t="s">
        <v>168</v>
      </c>
      <c r="Y21" s="250" t="s">
        <v>168</v>
      </c>
      <c r="Z21" s="250">
        <v>18682500</v>
      </c>
      <c r="AA21" s="250">
        <v>1737472</v>
      </c>
      <c r="AB21" s="250">
        <v>16945028</v>
      </c>
      <c r="AC21">
        <f t="shared" si="0"/>
        <v>23391.463608854912</v>
      </c>
      <c r="AE21" s="148">
        <v>19</v>
      </c>
      <c r="AF21" s="148" t="s">
        <v>157</v>
      </c>
      <c r="AG21" s="149" t="s">
        <v>250</v>
      </c>
      <c r="AH21" s="150">
        <v>214</v>
      </c>
      <c r="AI21" s="150" t="s">
        <v>157</v>
      </c>
      <c r="AJ21" s="159">
        <v>60.98</v>
      </c>
      <c r="AK21" s="241">
        <v>656.38871999999992</v>
      </c>
      <c r="AL21" s="242">
        <v>722.02759200000003</v>
      </c>
      <c r="AM21" s="242" t="s">
        <v>168</v>
      </c>
      <c r="AN21" s="242" t="s">
        <v>168</v>
      </c>
      <c r="AO21" s="242">
        <v>10330000</v>
      </c>
      <c r="AP21" s="251">
        <v>3031277</v>
      </c>
      <c r="AQ21" s="251">
        <v>7298723</v>
      </c>
    </row>
    <row r="22" spans="1:43" ht="16.5" x14ac:dyDescent="0.3">
      <c r="A22" s="236">
        <v>20</v>
      </c>
      <c r="B22" s="238" t="s">
        <v>34</v>
      </c>
      <c r="C22" s="237" t="s">
        <v>228</v>
      </c>
      <c r="D22" s="238">
        <v>1608</v>
      </c>
      <c r="E22" s="238" t="s">
        <v>172</v>
      </c>
      <c r="F22" s="239">
        <v>54.17</v>
      </c>
      <c r="G22" s="239">
        <v>583.08587999999997</v>
      </c>
      <c r="H22" s="240">
        <v>641.39446800000007</v>
      </c>
      <c r="I22" s="243" t="s">
        <v>211</v>
      </c>
      <c r="J22" s="240" t="s">
        <v>168</v>
      </c>
      <c r="K22" s="240">
        <v>14820975</v>
      </c>
      <c r="L22" s="250">
        <v>8892585</v>
      </c>
      <c r="M22" s="250">
        <v>5928390</v>
      </c>
      <c r="P22" s="148">
        <v>20</v>
      </c>
      <c r="Q22" s="148" t="s">
        <v>156</v>
      </c>
      <c r="R22" s="149" t="s">
        <v>249</v>
      </c>
      <c r="S22" s="150">
        <v>24</v>
      </c>
      <c r="T22" s="150" t="s">
        <v>156</v>
      </c>
      <c r="U22" s="159">
        <v>74.86</v>
      </c>
      <c r="V22" s="241">
        <v>805.79303999999991</v>
      </c>
      <c r="W22" s="242">
        <v>886.372344</v>
      </c>
      <c r="X22" s="243" t="s">
        <v>168</v>
      </c>
      <c r="Y22" s="251" t="s">
        <v>168</v>
      </c>
      <c r="Z22" s="251">
        <v>13513500</v>
      </c>
      <c r="AA22" s="251">
        <v>8170672</v>
      </c>
      <c r="AB22" s="251">
        <v>5342828</v>
      </c>
      <c r="AC22">
        <f t="shared" si="0"/>
        <v>16770.435247244131</v>
      </c>
      <c r="AE22" s="236">
        <v>20</v>
      </c>
      <c r="AF22" s="236" t="s">
        <v>157</v>
      </c>
      <c r="AG22" s="237" t="s">
        <v>250</v>
      </c>
      <c r="AH22" s="238">
        <v>215</v>
      </c>
      <c r="AI22" s="238" t="s">
        <v>157</v>
      </c>
      <c r="AJ22" s="159">
        <v>52.24</v>
      </c>
      <c r="AK22" s="239">
        <v>562.31136000000004</v>
      </c>
      <c r="AL22" s="240">
        <v>618.54249600000014</v>
      </c>
      <c r="AM22" s="240" t="s">
        <v>168</v>
      </c>
      <c r="AN22" s="240" t="s">
        <v>168</v>
      </c>
      <c r="AO22" s="240">
        <v>9114500</v>
      </c>
      <c r="AP22" s="250">
        <v>3822355</v>
      </c>
      <c r="AQ22" s="250">
        <v>5292145</v>
      </c>
    </row>
    <row r="23" spans="1:43" ht="16.5" x14ac:dyDescent="0.3">
      <c r="A23" s="148">
        <v>21</v>
      </c>
      <c r="B23" s="148" t="s">
        <v>34</v>
      </c>
      <c r="C23" s="149" t="s">
        <v>229</v>
      </c>
      <c r="D23" s="150">
        <v>1703</v>
      </c>
      <c r="E23" s="150" t="s">
        <v>174</v>
      </c>
      <c r="F23" s="159">
        <v>73.91</v>
      </c>
      <c r="G23" s="241">
        <v>795.56723999999997</v>
      </c>
      <c r="H23" s="242">
        <v>875.123964</v>
      </c>
      <c r="I23" s="244" t="s">
        <v>168</v>
      </c>
      <c r="J23" s="242" t="s">
        <v>168</v>
      </c>
      <c r="K23" s="242">
        <v>17014700</v>
      </c>
      <c r="L23" s="251">
        <v>10038673</v>
      </c>
      <c r="M23" s="251">
        <v>6976027</v>
      </c>
      <c r="P23" s="236">
        <v>21</v>
      </c>
      <c r="Q23" s="236" t="s">
        <v>156</v>
      </c>
      <c r="R23" s="237" t="s">
        <v>249</v>
      </c>
      <c r="S23" s="238">
        <v>25</v>
      </c>
      <c r="T23" s="238" t="s">
        <v>156</v>
      </c>
      <c r="U23" s="159">
        <v>142.74</v>
      </c>
      <c r="V23" s="239">
        <v>1536.45336</v>
      </c>
      <c r="W23" s="240">
        <v>1690.098696</v>
      </c>
      <c r="X23" s="243" t="s">
        <v>168</v>
      </c>
      <c r="Y23" s="250" t="s">
        <v>168</v>
      </c>
      <c r="Z23" s="250">
        <v>25096500</v>
      </c>
      <c r="AA23" s="250">
        <v>0</v>
      </c>
      <c r="AB23" s="250">
        <v>25096500</v>
      </c>
      <c r="AC23">
        <f t="shared" si="0"/>
        <v>16334.046091708244</v>
      </c>
      <c r="AE23" s="148">
        <v>21</v>
      </c>
      <c r="AF23" s="148" t="s">
        <v>157</v>
      </c>
      <c r="AG23" s="149" t="s">
        <v>250</v>
      </c>
      <c r="AH23" s="150">
        <v>217</v>
      </c>
      <c r="AI23" s="150" t="s">
        <v>157</v>
      </c>
      <c r="AJ23" s="241">
        <v>72.25</v>
      </c>
      <c r="AK23" s="241">
        <v>777.69899999999996</v>
      </c>
      <c r="AL23" s="242">
        <v>855.46890000000008</v>
      </c>
      <c r="AM23" s="242" t="s">
        <v>167</v>
      </c>
      <c r="AN23" s="242" t="s">
        <v>168</v>
      </c>
      <c r="AO23" s="242">
        <v>18729500</v>
      </c>
      <c r="AP23" s="251">
        <v>1000000</v>
      </c>
      <c r="AQ23" s="251">
        <v>17729500</v>
      </c>
    </row>
    <row r="24" spans="1:43" ht="16.5" x14ac:dyDescent="0.3">
      <c r="A24" s="236">
        <v>22</v>
      </c>
      <c r="B24" s="236" t="s">
        <v>34</v>
      </c>
      <c r="C24" s="237" t="s">
        <v>229</v>
      </c>
      <c r="D24" s="238">
        <v>1704</v>
      </c>
      <c r="E24" s="238" t="s">
        <v>174</v>
      </c>
      <c r="F24" s="159">
        <v>73.91</v>
      </c>
      <c r="G24" s="239">
        <v>795.56723999999997</v>
      </c>
      <c r="H24" s="240">
        <v>875.123964</v>
      </c>
      <c r="I24" s="243" t="s">
        <v>168</v>
      </c>
      <c r="J24" s="240" t="s">
        <v>168</v>
      </c>
      <c r="K24" s="240">
        <v>17744400</v>
      </c>
      <c r="L24" s="250">
        <v>12124440</v>
      </c>
      <c r="M24" s="250">
        <v>5619960</v>
      </c>
      <c r="P24" s="148">
        <v>22</v>
      </c>
      <c r="Q24" s="148" t="s">
        <v>156</v>
      </c>
      <c r="R24" s="149" t="s">
        <v>249</v>
      </c>
      <c r="S24" s="150">
        <v>26</v>
      </c>
      <c r="T24" s="150" t="s">
        <v>156</v>
      </c>
      <c r="U24" s="159">
        <v>70.91</v>
      </c>
      <c r="V24" s="241">
        <v>763.27523999999994</v>
      </c>
      <c r="W24" s="242">
        <v>839.60276399999998</v>
      </c>
      <c r="X24" s="244" t="s">
        <v>168</v>
      </c>
      <c r="Y24" s="251" t="s">
        <v>168</v>
      </c>
      <c r="Z24" s="251">
        <v>12144000</v>
      </c>
      <c r="AA24" s="251">
        <v>7759699</v>
      </c>
      <c r="AB24" s="251">
        <v>4384301</v>
      </c>
      <c r="AC24">
        <f t="shared" si="0"/>
        <v>15910.381162108706</v>
      </c>
      <c r="AE24" s="236">
        <v>22</v>
      </c>
      <c r="AF24" s="236" t="s">
        <v>157</v>
      </c>
      <c r="AG24" s="237" t="s">
        <v>250</v>
      </c>
      <c r="AH24" s="238">
        <v>218</v>
      </c>
      <c r="AI24" s="238" t="s">
        <v>157</v>
      </c>
      <c r="AJ24" s="159">
        <v>27.3</v>
      </c>
      <c r="AK24" s="239">
        <v>293.85719999999998</v>
      </c>
      <c r="AL24" s="240">
        <v>323.24292000000003</v>
      </c>
      <c r="AM24" s="240" t="s">
        <v>168</v>
      </c>
      <c r="AN24" s="240" t="s">
        <v>168</v>
      </c>
      <c r="AO24" s="240">
        <v>4976000</v>
      </c>
      <c r="AP24" s="250">
        <v>3176000</v>
      </c>
      <c r="AQ24" s="250">
        <v>1800000</v>
      </c>
    </row>
    <row r="25" spans="1:43" ht="16.5" x14ac:dyDescent="0.3">
      <c r="A25" s="148">
        <v>23</v>
      </c>
      <c r="B25" s="148" t="s">
        <v>34</v>
      </c>
      <c r="C25" s="149" t="s">
        <v>229</v>
      </c>
      <c r="D25" s="150">
        <v>1708</v>
      </c>
      <c r="E25" s="150" t="s">
        <v>172</v>
      </c>
      <c r="F25" s="159">
        <v>54.17</v>
      </c>
      <c r="G25" s="241">
        <v>583.08587999999997</v>
      </c>
      <c r="H25" s="242">
        <v>641.39446800000007</v>
      </c>
      <c r="I25" s="244" t="s">
        <v>168</v>
      </c>
      <c r="J25" s="242" t="s">
        <v>168</v>
      </c>
      <c r="K25" s="242">
        <v>8775000</v>
      </c>
      <c r="L25" s="251">
        <v>5250750</v>
      </c>
      <c r="M25" s="251">
        <v>3524250</v>
      </c>
      <c r="P25" s="236">
        <v>23</v>
      </c>
      <c r="Q25" s="236" t="s">
        <v>156</v>
      </c>
      <c r="R25" s="237" t="s">
        <v>249</v>
      </c>
      <c r="S25" s="238">
        <v>27</v>
      </c>
      <c r="T25" s="238" t="s">
        <v>156</v>
      </c>
      <c r="U25" s="159">
        <v>81.27</v>
      </c>
      <c r="V25" s="239">
        <v>874.79027999999994</v>
      </c>
      <c r="W25" s="240">
        <v>962.26930800000002</v>
      </c>
      <c r="X25" s="243" t="s">
        <v>168</v>
      </c>
      <c r="Y25" s="250" t="s">
        <v>168</v>
      </c>
      <c r="Z25" s="250">
        <v>16887000</v>
      </c>
      <c r="AA25" s="250">
        <v>11858570</v>
      </c>
      <c r="AB25" s="250">
        <v>5028430</v>
      </c>
      <c r="AC25">
        <f t="shared" si="0"/>
        <v>19304.055367419034</v>
      </c>
      <c r="AE25" s="148">
        <v>23</v>
      </c>
      <c r="AF25" s="148" t="s">
        <v>157</v>
      </c>
      <c r="AG25" s="149" t="s">
        <v>250</v>
      </c>
      <c r="AH25" s="150">
        <v>219</v>
      </c>
      <c r="AI25" s="150" t="s">
        <v>157</v>
      </c>
      <c r="AJ25" s="159">
        <v>23.84</v>
      </c>
      <c r="AK25" s="241">
        <v>256.61375999999996</v>
      </c>
      <c r="AL25" s="242">
        <v>282.27513599999997</v>
      </c>
      <c r="AM25" s="242" t="s">
        <v>168</v>
      </c>
      <c r="AN25" s="242" t="s">
        <v>168</v>
      </c>
      <c r="AO25" s="242">
        <v>4320000</v>
      </c>
      <c r="AP25" s="251">
        <v>3320000</v>
      </c>
      <c r="AQ25" s="251">
        <v>1000000</v>
      </c>
    </row>
    <row r="26" spans="1:43" ht="16.5" x14ac:dyDescent="0.3">
      <c r="A26" s="236">
        <v>24</v>
      </c>
      <c r="B26" s="236" t="s">
        <v>34</v>
      </c>
      <c r="C26" s="237" t="s">
        <v>230</v>
      </c>
      <c r="D26" s="238">
        <v>1804</v>
      </c>
      <c r="E26" s="238" t="s">
        <v>174</v>
      </c>
      <c r="F26" s="159">
        <v>73.91</v>
      </c>
      <c r="G26" s="239">
        <v>795.56723999999997</v>
      </c>
      <c r="H26" s="240">
        <v>875.123964</v>
      </c>
      <c r="I26" s="243" t="s">
        <v>168</v>
      </c>
      <c r="J26" s="240" t="s">
        <v>168</v>
      </c>
      <c r="K26" s="240">
        <v>15407100</v>
      </c>
      <c r="L26" s="250">
        <v>9049846</v>
      </c>
      <c r="M26" s="250">
        <v>6357254</v>
      </c>
      <c r="P26" s="148">
        <v>24</v>
      </c>
      <c r="Q26" s="148" t="s">
        <v>156</v>
      </c>
      <c r="R26" s="149" t="s">
        <v>249</v>
      </c>
      <c r="S26" s="150">
        <v>28</v>
      </c>
      <c r="T26" s="150" t="s">
        <v>156</v>
      </c>
      <c r="U26" s="159">
        <v>81.27</v>
      </c>
      <c r="V26" s="241">
        <v>874.79027999999994</v>
      </c>
      <c r="W26" s="242">
        <v>962.26930800000002</v>
      </c>
      <c r="X26" s="244" t="s">
        <v>168</v>
      </c>
      <c r="Y26" s="251" t="s">
        <v>168</v>
      </c>
      <c r="Z26" s="251">
        <v>16887000</v>
      </c>
      <c r="AA26" s="251">
        <v>11809700</v>
      </c>
      <c r="AB26" s="251">
        <v>5077300</v>
      </c>
      <c r="AC26">
        <f t="shared" si="0"/>
        <v>19304.055367419034</v>
      </c>
      <c r="AE26" s="236">
        <v>24</v>
      </c>
      <c r="AF26" s="236" t="s">
        <v>157</v>
      </c>
      <c r="AG26" s="237" t="s">
        <v>250</v>
      </c>
      <c r="AH26" s="238">
        <v>224</v>
      </c>
      <c r="AI26" s="238" t="s">
        <v>157</v>
      </c>
      <c r="AJ26" s="239">
        <v>30.18</v>
      </c>
      <c r="AK26" s="239">
        <v>324.85751999999997</v>
      </c>
      <c r="AL26" s="240">
        <v>357.34327200000001</v>
      </c>
      <c r="AM26" s="240" t="s">
        <v>167</v>
      </c>
      <c r="AN26" s="240" t="s">
        <v>168</v>
      </c>
      <c r="AO26" s="240">
        <v>7943000</v>
      </c>
      <c r="AP26" s="250">
        <v>2100000</v>
      </c>
      <c r="AQ26" s="250">
        <v>5843000</v>
      </c>
    </row>
    <row r="27" spans="1:43" ht="16.5" x14ac:dyDescent="0.3">
      <c r="A27" s="148">
        <v>25</v>
      </c>
      <c r="B27" s="148" t="s">
        <v>34</v>
      </c>
      <c r="C27" s="149" t="s">
        <v>230</v>
      </c>
      <c r="D27" s="150">
        <v>1808</v>
      </c>
      <c r="E27" s="150" t="s">
        <v>172</v>
      </c>
      <c r="F27" s="159">
        <v>54.17</v>
      </c>
      <c r="G27" s="241">
        <v>583.08587999999997</v>
      </c>
      <c r="H27" s="242">
        <v>641.39446800000007</v>
      </c>
      <c r="I27" s="244" t="s">
        <v>168</v>
      </c>
      <c r="J27" s="242" t="s">
        <v>168</v>
      </c>
      <c r="K27" s="242">
        <v>11870000</v>
      </c>
      <c r="L27" s="251">
        <v>7183037</v>
      </c>
      <c r="M27" s="251">
        <v>4686963</v>
      </c>
      <c r="P27" s="236">
        <v>25</v>
      </c>
      <c r="Q27" s="236" t="s">
        <v>156</v>
      </c>
      <c r="R27" s="237" t="s">
        <v>249</v>
      </c>
      <c r="S27" s="238">
        <v>29</v>
      </c>
      <c r="T27" s="238" t="s">
        <v>156</v>
      </c>
      <c r="U27" s="159">
        <v>65.63</v>
      </c>
      <c r="V27" s="239">
        <v>706.44131999999991</v>
      </c>
      <c r="W27" s="240">
        <v>777.08545199999992</v>
      </c>
      <c r="X27" s="243" t="s">
        <v>168</v>
      </c>
      <c r="Y27" s="250" t="s">
        <v>168</v>
      </c>
      <c r="Z27" s="250">
        <v>14392900</v>
      </c>
      <c r="AA27" s="250">
        <v>13932400</v>
      </c>
      <c r="AB27" s="250">
        <v>460500</v>
      </c>
      <c r="AC27">
        <f t="shared" si="0"/>
        <v>20373.80825912052</v>
      </c>
      <c r="AE27" s="264" t="s">
        <v>32</v>
      </c>
      <c r="AF27" s="264"/>
      <c r="AG27" s="264"/>
      <c r="AH27" s="264"/>
      <c r="AI27" s="264"/>
      <c r="AJ27" s="133">
        <f>SUM(AJ3:AJ26)</f>
        <v>1501.81</v>
      </c>
      <c r="AK27" s="133">
        <f t="shared" ref="AK27:AQ27" si="1">SUM(AK3:AK26)</f>
        <v>16165.482839999997</v>
      </c>
      <c r="AL27" s="133">
        <f t="shared" si="1"/>
        <v>17782.031123999997</v>
      </c>
      <c r="AM27" s="133"/>
      <c r="AN27" s="133"/>
      <c r="AO27" s="133">
        <f t="shared" si="1"/>
        <v>306035500</v>
      </c>
      <c r="AP27" s="133">
        <f t="shared" si="1"/>
        <v>80262341</v>
      </c>
      <c r="AQ27" s="133">
        <f t="shared" si="1"/>
        <v>225773159</v>
      </c>
    </row>
    <row r="28" spans="1:43" ht="16.5" x14ac:dyDescent="0.3">
      <c r="A28" s="236">
        <v>26</v>
      </c>
      <c r="B28" s="236" t="s">
        <v>34</v>
      </c>
      <c r="C28" s="237" t="s">
        <v>230</v>
      </c>
      <c r="D28" s="238">
        <v>1809</v>
      </c>
      <c r="E28" s="238" t="s">
        <v>172</v>
      </c>
      <c r="F28" s="239">
        <v>54.05</v>
      </c>
      <c r="G28" s="239">
        <v>581.79419999999993</v>
      </c>
      <c r="H28" s="240">
        <v>639.97361999999998</v>
      </c>
      <c r="I28" s="243" t="s">
        <v>167</v>
      </c>
      <c r="J28" s="240" t="s">
        <v>168</v>
      </c>
      <c r="K28" s="240">
        <v>11583000</v>
      </c>
      <c r="L28" s="250">
        <v>694980</v>
      </c>
      <c r="M28" s="250">
        <v>10888020</v>
      </c>
      <c r="P28" s="148">
        <v>26</v>
      </c>
      <c r="Q28" s="148" t="s">
        <v>156</v>
      </c>
      <c r="R28" s="149" t="s">
        <v>249</v>
      </c>
      <c r="S28" s="150">
        <v>30</v>
      </c>
      <c r="T28" s="150" t="s">
        <v>156</v>
      </c>
      <c r="U28" s="159">
        <v>111.18</v>
      </c>
      <c r="V28" s="241">
        <v>1196.74152</v>
      </c>
      <c r="W28" s="242">
        <v>1316.4156720000001</v>
      </c>
      <c r="X28" s="244" t="s">
        <v>168</v>
      </c>
      <c r="Y28" s="251" t="s">
        <v>168</v>
      </c>
      <c r="Z28" s="251">
        <v>18304900</v>
      </c>
      <c r="AA28" s="251">
        <v>14399326</v>
      </c>
      <c r="AB28" s="251">
        <v>3905574</v>
      </c>
      <c r="AC28">
        <f t="shared" si="0"/>
        <v>15295.617051875997</v>
      </c>
    </row>
    <row r="29" spans="1:43" ht="16.5" x14ac:dyDescent="0.3">
      <c r="A29" s="148">
        <v>27</v>
      </c>
      <c r="B29" s="148" t="s">
        <v>34</v>
      </c>
      <c r="C29" s="149" t="s">
        <v>231</v>
      </c>
      <c r="D29" s="150">
        <v>1904</v>
      </c>
      <c r="E29" s="150" t="s">
        <v>174</v>
      </c>
      <c r="F29" s="159">
        <v>73.91</v>
      </c>
      <c r="G29" s="241">
        <v>795.56723999999997</v>
      </c>
      <c r="H29" s="242">
        <v>875.123964</v>
      </c>
      <c r="I29" s="244" t="s">
        <v>168</v>
      </c>
      <c r="J29" s="242" t="s">
        <v>168</v>
      </c>
      <c r="K29" s="242">
        <v>15457500</v>
      </c>
      <c r="L29" s="251">
        <v>8656000</v>
      </c>
      <c r="M29" s="251">
        <v>6801500</v>
      </c>
      <c r="P29" s="236">
        <v>27</v>
      </c>
      <c r="Q29" s="236" t="s">
        <v>156</v>
      </c>
      <c r="R29" s="237" t="s">
        <v>249</v>
      </c>
      <c r="S29" s="238">
        <v>31</v>
      </c>
      <c r="T29" s="238" t="s">
        <v>156</v>
      </c>
      <c r="U29" s="159">
        <v>103.33</v>
      </c>
      <c r="V29" s="239">
        <v>1112.2441199999998</v>
      </c>
      <c r="W29" s="240">
        <v>1223.4685319999999</v>
      </c>
      <c r="X29" s="243" t="s">
        <v>168</v>
      </c>
      <c r="Y29" s="250" t="s">
        <v>168</v>
      </c>
      <c r="Z29" s="250">
        <v>17815900</v>
      </c>
      <c r="AA29" s="250">
        <v>14347858</v>
      </c>
      <c r="AB29" s="250">
        <v>3468042</v>
      </c>
      <c r="AC29">
        <f t="shared" si="0"/>
        <v>16017.976341380885</v>
      </c>
    </row>
    <row r="30" spans="1:43" ht="16.5" x14ac:dyDescent="0.3">
      <c r="A30" s="236">
        <v>28</v>
      </c>
      <c r="B30" s="236" t="s">
        <v>34</v>
      </c>
      <c r="C30" s="237" t="s">
        <v>231</v>
      </c>
      <c r="D30" s="238">
        <v>1909</v>
      </c>
      <c r="E30" s="238" t="s">
        <v>172</v>
      </c>
      <c r="F30" s="159">
        <v>54.05</v>
      </c>
      <c r="G30" s="239">
        <v>581.79419999999993</v>
      </c>
      <c r="H30" s="240">
        <v>639.97361999999998</v>
      </c>
      <c r="I30" s="243" t="s">
        <v>168</v>
      </c>
      <c r="J30" s="240" t="s">
        <v>168</v>
      </c>
      <c r="K30" s="240">
        <v>8775000</v>
      </c>
      <c r="L30" s="250">
        <v>5101000</v>
      </c>
      <c r="M30" s="250">
        <v>3674000</v>
      </c>
      <c r="P30" s="148">
        <v>28</v>
      </c>
      <c r="Q30" s="148" t="s">
        <v>156</v>
      </c>
      <c r="R30" s="149" t="s">
        <v>249</v>
      </c>
      <c r="S30" s="150">
        <v>32</v>
      </c>
      <c r="T30" s="150" t="s">
        <v>156</v>
      </c>
      <c r="U30" s="241">
        <v>122.35</v>
      </c>
      <c r="V30" s="241">
        <v>1316.9753999999998</v>
      </c>
      <c r="W30" s="242">
        <v>1448.6729399999999</v>
      </c>
      <c r="X30" s="244" t="s">
        <v>167</v>
      </c>
      <c r="Y30" s="251" t="s">
        <v>168</v>
      </c>
      <c r="Z30" s="251">
        <v>25944000</v>
      </c>
      <c r="AA30" s="251">
        <v>1281896</v>
      </c>
      <c r="AB30" s="251">
        <v>24662104</v>
      </c>
      <c r="AC30">
        <f t="shared" si="0"/>
        <v>19699.684595475363</v>
      </c>
    </row>
    <row r="31" spans="1:43" ht="16.5" x14ac:dyDescent="0.3">
      <c r="A31" s="148">
        <v>29</v>
      </c>
      <c r="B31" s="148" t="s">
        <v>34</v>
      </c>
      <c r="C31" s="149" t="s">
        <v>232</v>
      </c>
      <c r="D31" s="150">
        <v>2009</v>
      </c>
      <c r="E31" s="150" t="s">
        <v>172</v>
      </c>
      <c r="F31" s="241">
        <v>54.05</v>
      </c>
      <c r="G31" s="241">
        <v>581.79419999999993</v>
      </c>
      <c r="H31" s="242">
        <v>639.97361999999998</v>
      </c>
      <c r="I31" s="244" t="s">
        <v>168</v>
      </c>
      <c r="J31" s="242" t="s">
        <v>168</v>
      </c>
      <c r="K31" s="242">
        <v>12285000</v>
      </c>
      <c r="L31" s="251">
        <v>7173383</v>
      </c>
      <c r="M31" s="251">
        <v>5111617</v>
      </c>
      <c r="P31" s="236">
        <v>29</v>
      </c>
      <c r="Q31" s="236" t="s">
        <v>156</v>
      </c>
      <c r="R31" s="237" t="s">
        <v>249</v>
      </c>
      <c r="S31" s="238">
        <v>33</v>
      </c>
      <c r="T31" s="238" t="s">
        <v>156</v>
      </c>
      <c r="U31" s="159">
        <v>128.85</v>
      </c>
      <c r="V31" s="239">
        <v>1386.9413999999999</v>
      </c>
      <c r="W31" s="240">
        <v>1525.63554</v>
      </c>
      <c r="X31" s="243" t="s">
        <v>168</v>
      </c>
      <c r="Y31" s="250" t="s">
        <v>168</v>
      </c>
      <c r="Z31" s="250">
        <v>22324500</v>
      </c>
      <c r="AA31" s="250">
        <v>11900000</v>
      </c>
      <c r="AB31" s="250">
        <v>10424500</v>
      </c>
      <c r="AC31">
        <f t="shared" si="0"/>
        <v>16096.209976859875</v>
      </c>
    </row>
    <row r="32" spans="1:43" ht="16.5" x14ac:dyDescent="0.3">
      <c r="A32" s="236">
        <v>30</v>
      </c>
      <c r="B32" s="236" t="s">
        <v>35</v>
      </c>
      <c r="C32" s="237" t="s">
        <v>213</v>
      </c>
      <c r="D32" s="238">
        <v>106</v>
      </c>
      <c r="E32" s="238" t="s">
        <v>253</v>
      </c>
      <c r="F32" s="159">
        <v>33.44</v>
      </c>
      <c r="G32" s="239">
        <v>359.94815999999997</v>
      </c>
      <c r="H32" s="240">
        <v>395.94297599999999</v>
      </c>
      <c r="I32" s="243" t="s">
        <v>168</v>
      </c>
      <c r="J32" s="240" t="s">
        <v>168</v>
      </c>
      <c r="K32" s="240">
        <v>9282500</v>
      </c>
      <c r="L32" s="250">
        <v>6000000</v>
      </c>
      <c r="M32" s="250">
        <v>3282500</v>
      </c>
      <c r="P32" s="148">
        <v>30</v>
      </c>
      <c r="Q32" s="148" t="s">
        <v>156</v>
      </c>
      <c r="R32" s="149" t="s">
        <v>249</v>
      </c>
      <c r="S32" s="150">
        <v>34</v>
      </c>
      <c r="T32" s="150" t="s">
        <v>156</v>
      </c>
      <c r="U32" s="159">
        <v>103.17</v>
      </c>
      <c r="V32" s="241">
        <v>1110.52188</v>
      </c>
      <c r="W32" s="242">
        <v>1221.5740680000001</v>
      </c>
      <c r="X32" s="244" t="s">
        <v>168</v>
      </c>
      <c r="Y32" s="251" t="s">
        <v>168</v>
      </c>
      <c r="Z32" s="251">
        <v>19337500</v>
      </c>
      <c r="AA32" s="251">
        <v>729375</v>
      </c>
      <c r="AB32" s="251">
        <v>18608125</v>
      </c>
      <c r="AC32">
        <f t="shared" si="0"/>
        <v>17412.984244848918</v>
      </c>
    </row>
    <row r="33" spans="1:29" ht="16.5" x14ac:dyDescent="0.3">
      <c r="A33" s="148">
        <v>31</v>
      </c>
      <c r="B33" s="148" t="s">
        <v>35</v>
      </c>
      <c r="C33" s="149" t="s">
        <v>214</v>
      </c>
      <c r="D33" s="150">
        <v>206</v>
      </c>
      <c r="E33" s="150" t="s">
        <v>253</v>
      </c>
      <c r="F33" s="175">
        <v>33.44</v>
      </c>
      <c r="G33" s="241">
        <v>359.94815999999997</v>
      </c>
      <c r="H33" s="242">
        <v>395.94297599999999</v>
      </c>
      <c r="I33" s="244" t="s">
        <v>168</v>
      </c>
      <c r="J33" s="242" t="s">
        <v>168</v>
      </c>
      <c r="K33" s="242">
        <v>5925000</v>
      </c>
      <c r="L33" s="252">
        <v>1251180</v>
      </c>
      <c r="M33" s="251">
        <v>4673820</v>
      </c>
      <c r="P33" s="236">
        <v>31</v>
      </c>
      <c r="Q33" s="236" t="s">
        <v>156</v>
      </c>
      <c r="R33" s="237" t="s">
        <v>249</v>
      </c>
      <c r="S33" s="238">
        <v>35</v>
      </c>
      <c r="T33" s="238" t="s">
        <v>156</v>
      </c>
      <c r="U33" s="159">
        <v>100.77000000000001</v>
      </c>
      <c r="V33" s="239">
        <v>1084.6882800000001</v>
      </c>
      <c r="W33" s="240">
        <v>1193.1571080000001</v>
      </c>
      <c r="X33" s="243" t="s">
        <v>168</v>
      </c>
      <c r="Y33" s="250" t="s">
        <v>168</v>
      </c>
      <c r="Z33" s="250">
        <v>18645000</v>
      </c>
      <c r="AA33" s="250">
        <v>13052438</v>
      </c>
      <c r="AB33" s="250">
        <v>5592562</v>
      </c>
      <c r="AC33">
        <f t="shared" si="0"/>
        <v>17189.270266661311</v>
      </c>
    </row>
    <row r="34" spans="1:29" ht="16.5" x14ac:dyDescent="0.3">
      <c r="A34" s="236">
        <v>32</v>
      </c>
      <c r="B34" s="236" t="s">
        <v>35</v>
      </c>
      <c r="C34" s="237" t="s">
        <v>215</v>
      </c>
      <c r="D34" s="238">
        <v>305</v>
      </c>
      <c r="E34" s="238" t="s">
        <v>253</v>
      </c>
      <c r="F34" s="175">
        <v>33.44</v>
      </c>
      <c r="G34" s="239">
        <v>359.94815999999997</v>
      </c>
      <c r="H34" s="240">
        <v>395.94297599999999</v>
      </c>
      <c r="I34" s="243" t="s">
        <v>168</v>
      </c>
      <c r="J34" s="240" t="s">
        <v>168</v>
      </c>
      <c r="K34" s="240">
        <v>6111400</v>
      </c>
      <c r="L34" s="253">
        <v>1000000</v>
      </c>
      <c r="M34" s="250">
        <v>5111400</v>
      </c>
      <c r="P34" s="148">
        <v>32</v>
      </c>
      <c r="Q34" s="148" t="s">
        <v>156</v>
      </c>
      <c r="R34" s="149" t="s">
        <v>249</v>
      </c>
      <c r="S34" s="150">
        <v>36</v>
      </c>
      <c r="T34" s="150" t="s">
        <v>156</v>
      </c>
      <c r="U34" s="159">
        <v>111.77000000000001</v>
      </c>
      <c r="V34" s="241">
        <v>1203.0922800000001</v>
      </c>
      <c r="W34" s="242">
        <v>1323.4015080000001</v>
      </c>
      <c r="X34" s="244" t="s">
        <v>168</v>
      </c>
      <c r="Y34" s="251" t="s">
        <v>168</v>
      </c>
      <c r="Z34" s="251">
        <v>25345800</v>
      </c>
      <c r="AA34" s="251">
        <v>19362856</v>
      </c>
      <c r="AB34" s="251">
        <v>5982944</v>
      </c>
      <c r="AC34">
        <f t="shared" si="0"/>
        <v>21067.211901650637</v>
      </c>
    </row>
    <row r="35" spans="1:29" ht="16.5" x14ac:dyDescent="0.3">
      <c r="A35" s="148">
        <v>33</v>
      </c>
      <c r="B35" s="148" t="s">
        <v>35</v>
      </c>
      <c r="C35" s="149" t="s">
        <v>216</v>
      </c>
      <c r="D35" s="150">
        <v>402</v>
      </c>
      <c r="E35" s="150" t="s">
        <v>172</v>
      </c>
      <c r="F35" s="247">
        <v>58.59</v>
      </c>
      <c r="G35" s="241">
        <v>630.66276000000005</v>
      </c>
      <c r="H35" s="242">
        <v>693.72903600000006</v>
      </c>
      <c r="I35" s="244" t="s">
        <v>167</v>
      </c>
      <c r="J35" s="242" t="s">
        <v>168</v>
      </c>
      <c r="K35" s="242">
        <v>14514455</v>
      </c>
      <c r="L35" s="252">
        <v>2449000</v>
      </c>
      <c r="M35" s="251">
        <v>12065455</v>
      </c>
      <c r="P35" s="236">
        <v>33</v>
      </c>
      <c r="Q35" s="236" t="s">
        <v>156</v>
      </c>
      <c r="R35" s="237" t="s">
        <v>249</v>
      </c>
      <c r="S35" s="238">
        <v>37</v>
      </c>
      <c r="T35" s="238" t="s">
        <v>156</v>
      </c>
      <c r="U35" s="159">
        <v>108.84</v>
      </c>
      <c r="V35" s="239">
        <v>1171.55376</v>
      </c>
      <c r="W35" s="240">
        <v>1288.7091360000002</v>
      </c>
      <c r="X35" s="243" t="s">
        <v>168</v>
      </c>
      <c r="Y35" s="250" t="s">
        <v>168</v>
      </c>
      <c r="Z35" s="250">
        <v>24983000</v>
      </c>
      <c r="AA35" s="250">
        <v>24135944</v>
      </c>
      <c r="AB35" s="250">
        <v>847056</v>
      </c>
      <c r="AC35">
        <f t="shared" si="0"/>
        <v>21324.672288192734</v>
      </c>
    </row>
    <row r="36" spans="1:29" ht="16.5" x14ac:dyDescent="0.3">
      <c r="A36" s="236">
        <v>34</v>
      </c>
      <c r="B36" s="236" t="s">
        <v>35</v>
      </c>
      <c r="C36" s="237" t="s">
        <v>216</v>
      </c>
      <c r="D36" s="238">
        <v>406</v>
      </c>
      <c r="E36" s="238" t="s">
        <v>173</v>
      </c>
      <c r="F36" s="175">
        <v>33.44</v>
      </c>
      <c r="G36" s="239">
        <v>359.94815999999997</v>
      </c>
      <c r="H36" s="240">
        <v>395.94297599999999</v>
      </c>
      <c r="I36" s="243" t="s">
        <v>168</v>
      </c>
      <c r="J36" s="240" t="s">
        <v>168</v>
      </c>
      <c r="K36" s="240">
        <v>8492500</v>
      </c>
      <c r="L36" s="253">
        <v>1000000</v>
      </c>
      <c r="M36" s="250">
        <v>7492500</v>
      </c>
      <c r="P36" s="148">
        <v>34</v>
      </c>
      <c r="Q36" s="148" t="s">
        <v>156</v>
      </c>
      <c r="R36" s="149" t="s">
        <v>249</v>
      </c>
      <c r="S36" s="150">
        <v>38</v>
      </c>
      <c r="T36" s="150" t="s">
        <v>156</v>
      </c>
      <c r="U36" s="159">
        <v>141.46</v>
      </c>
      <c r="V36" s="241">
        <v>1522.67544</v>
      </c>
      <c r="W36" s="242">
        <v>1674.942984</v>
      </c>
      <c r="X36" s="244" t="s">
        <v>168</v>
      </c>
      <c r="Y36" s="251" t="s">
        <v>168</v>
      </c>
      <c r="Z36" s="251">
        <v>24370500</v>
      </c>
      <c r="AA36" s="251">
        <v>15397364</v>
      </c>
      <c r="AB36" s="251">
        <v>8973136</v>
      </c>
      <c r="AC36">
        <f t="shared" si="0"/>
        <v>16005.052265110417</v>
      </c>
    </row>
    <row r="37" spans="1:29" ht="16.5" x14ac:dyDescent="0.3">
      <c r="A37" s="148">
        <v>35</v>
      </c>
      <c r="B37" s="148" t="s">
        <v>35</v>
      </c>
      <c r="C37" s="149" t="s">
        <v>216</v>
      </c>
      <c r="D37" s="150">
        <v>407</v>
      </c>
      <c r="E37" s="150" t="s">
        <v>174</v>
      </c>
      <c r="F37" s="175">
        <v>88.58</v>
      </c>
      <c r="G37" s="241">
        <v>953.47511999999995</v>
      </c>
      <c r="H37" s="242">
        <v>1048.8226320000001</v>
      </c>
      <c r="I37" s="244" t="s">
        <v>168</v>
      </c>
      <c r="J37" s="242" t="s">
        <v>168</v>
      </c>
      <c r="K37" s="242">
        <v>20676705</v>
      </c>
      <c r="L37" s="252">
        <v>7200000</v>
      </c>
      <c r="M37" s="251">
        <v>13476705</v>
      </c>
      <c r="P37" s="236">
        <v>35</v>
      </c>
      <c r="Q37" s="236" t="s">
        <v>156</v>
      </c>
      <c r="R37" s="237" t="s">
        <v>249</v>
      </c>
      <c r="S37" s="238">
        <v>39</v>
      </c>
      <c r="T37" s="238" t="s">
        <v>156</v>
      </c>
      <c r="U37" s="159">
        <v>70.73</v>
      </c>
      <c r="V37" s="239">
        <v>761.33771999999999</v>
      </c>
      <c r="W37" s="240">
        <v>837.47149200000001</v>
      </c>
      <c r="X37" s="243" t="s">
        <v>168</v>
      </c>
      <c r="Y37" s="250" t="s">
        <v>168</v>
      </c>
      <c r="Z37" s="250">
        <v>14998500</v>
      </c>
      <c r="AA37" s="250">
        <v>11150000</v>
      </c>
      <c r="AB37" s="250">
        <v>3848500</v>
      </c>
      <c r="AC37">
        <f t="shared" si="0"/>
        <v>19700.19297086712</v>
      </c>
    </row>
    <row r="38" spans="1:29" ht="16.5" x14ac:dyDescent="0.3">
      <c r="A38" s="236">
        <v>36</v>
      </c>
      <c r="B38" s="236" t="s">
        <v>35</v>
      </c>
      <c r="C38" s="237" t="s">
        <v>216</v>
      </c>
      <c r="D38" s="238">
        <v>408</v>
      </c>
      <c r="E38" s="238" t="s">
        <v>174</v>
      </c>
      <c r="F38" s="246">
        <v>88.58</v>
      </c>
      <c r="G38" s="239">
        <v>953.47511999999995</v>
      </c>
      <c r="H38" s="240">
        <v>1048.8226320000001</v>
      </c>
      <c r="I38" s="243" t="s">
        <v>167</v>
      </c>
      <c r="J38" s="240" t="s">
        <v>168</v>
      </c>
      <c r="K38" s="240">
        <v>21685845</v>
      </c>
      <c r="L38" s="253">
        <v>2451000</v>
      </c>
      <c r="M38" s="250">
        <v>19234845</v>
      </c>
      <c r="P38" s="148">
        <v>36</v>
      </c>
      <c r="Q38" s="148" t="s">
        <v>156</v>
      </c>
      <c r="R38" s="149" t="s">
        <v>249</v>
      </c>
      <c r="S38" s="150">
        <v>40</v>
      </c>
      <c r="T38" s="150" t="s">
        <v>156</v>
      </c>
      <c r="U38" s="159">
        <v>66.87</v>
      </c>
      <c r="V38" s="241">
        <v>719.78868</v>
      </c>
      <c r="W38" s="242">
        <v>791.76754800000003</v>
      </c>
      <c r="X38" s="244" t="s">
        <v>168</v>
      </c>
      <c r="Y38" s="251" t="s">
        <v>168</v>
      </c>
      <c r="Z38" s="251">
        <v>11698500</v>
      </c>
      <c r="AA38" s="251">
        <v>7615264</v>
      </c>
      <c r="AB38" s="251">
        <v>4083236</v>
      </c>
      <c r="AC38">
        <f t="shared" si="0"/>
        <v>16252.686830251345</v>
      </c>
    </row>
    <row r="39" spans="1:29" ht="16.5" x14ac:dyDescent="0.3">
      <c r="A39" s="148">
        <v>37</v>
      </c>
      <c r="B39" s="148" t="s">
        <v>35</v>
      </c>
      <c r="C39" s="149" t="s">
        <v>217</v>
      </c>
      <c r="D39" s="150">
        <v>501</v>
      </c>
      <c r="E39" s="150" t="s">
        <v>173</v>
      </c>
      <c r="F39" s="247">
        <v>33.159999999999997</v>
      </c>
      <c r="G39" s="241">
        <v>356.93423999999993</v>
      </c>
      <c r="H39" s="242">
        <v>392.62766399999998</v>
      </c>
      <c r="I39" s="244" t="s">
        <v>167</v>
      </c>
      <c r="J39" s="242" t="s">
        <v>168</v>
      </c>
      <c r="K39" s="242">
        <v>5853420</v>
      </c>
      <c r="L39" s="252">
        <v>526808</v>
      </c>
      <c r="M39" s="251">
        <v>5326612</v>
      </c>
      <c r="P39" s="236">
        <v>37</v>
      </c>
      <c r="Q39" s="236" t="s">
        <v>156</v>
      </c>
      <c r="R39" s="237" t="s">
        <v>249</v>
      </c>
      <c r="S39" s="238">
        <v>41</v>
      </c>
      <c r="T39" s="238" t="s">
        <v>156</v>
      </c>
      <c r="U39" s="159">
        <v>66.87</v>
      </c>
      <c r="V39" s="239">
        <v>719.78868</v>
      </c>
      <c r="W39" s="240">
        <v>791.76754800000003</v>
      </c>
      <c r="X39" s="243" t="s">
        <v>168</v>
      </c>
      <c r="Y39" s="250" t="s">
        <v>168</v>
      </c>
      <c r="Z39" s="250">
        <v>11698500</v>
      </c>
      <c r="AA39" s="250">
        <v>7732250</v>
      </c>
      <c r="AB39" s="250">
        <v>3966250</v>
      </c>
      <c r="AC39">
        <f t="shared" si="0"/>
        <v>16252.686830251345</v>
      </c>
    </row>
    <row r="40" spans="1:29" ht="16.5" x14ac:dyDescent="0.3">
      <c r="A40" s="236">
        <v>38</v>
      </c>
      <c r="B40" s="236" t="s">
        <v>35</v>
      </c>
      <c r="C40" s="237" t="s">
        <v>217</v>
      </c>
      <c r="D40" s="238">
        <v>507</v>
      </c>
      <c r="E40" s="238" t="s">
        <v>174</v>
      </c>
      <c r="F40" s="175">
        <v>88.58</v>
      </c>
      <c r="G40" s="239">
        <v>953.47511999999995</v>
      </c>
      <c r="H40" s="240">
        <v>1048.8226320000001</v>
      </c>
      <c r="I40" s="243" t="s">
        <v>168</v>
      </c>
      <c r="J40" s="240" t="s">
        <v>168</v>
      </c>
      <c r="K40" s="240">
        <v>21392000</v>
      </c>
      <c r="L40" s="253">
        <v>12407361</v>
      </c>
      <c r="M40" s="250">
        <v>8984639</v>
      </c>
      <c r="P40" s="148">
        <v>38</v>
      </c>
      <c r="Q40" s="148" t="s">
        <v>156</v>
      </c>
      <c r="R40" s="149" t="s">
        <v>249</v>
      </c>
      <c r="S40" s="150">
        <v>42</v>
      </c>
      <c r="T40" s="150" t="s">
        <v>156</v>
      </c>
      <c r="U40" s="159">
        <v>71.710000000000008</v>
      </c>
      <c r="V40" s="241">
        <v>771.88643999999999</v>
      </c>
      <c r="W40" s="242">
        <v>849.07508400000006</v>
      </c>
      <c r="X40" s="244" t="s">
        <v>168</v>
      </c>
      <c r="Y40" s="251" t="s">
        <v>168</v>
      </c>
      <c r="Z40" s="251">
        <v>11566500</v>
      </c>
      <c r="AA40" s="251">
        <v>7368570</v>
      </c>
      <c r="AB40" s="251">
        <v>4197930</v>
      </c>
      <c r="AC40">
        <f t="shared" si="0"/>
        <v>14984.717181973037</v>
      </c>
    </row>
    <row r="41" spans="1:29" ht="16.5" x14ac:dyDescent="0.3">
      <c r="A41" s="148">
        <v>39</v>
      </c>
      <c r="B41" s="148" t="s">
        <v>35</v>
      </c>
      <c r="C41" s="149" t="s">
        <v>217</v>
      </c>
      <c r="D41" s="150">
        <v>508</v>
      </c>
      <c r="E41" s="150" t="s">
        <v>174</v>
      </c>
      <c r="F41" s="175">
        <v>88.58</v>
      </c>
      <c r="G41" s="241">
        <v>953.47511999999995</v>
      </c>
      <c r="H41" s="242">
        <v>1048.8226320000001</v>
      </c>
      <c r="I41" s="244" t="s">
        <v>168</v>
      </c>
      <c r="J41" s="242" t="s">
        <v>168</v>
      </c>
      <c r="K41" s="242">
        <v>13128000</v>
      </c>
      <c r="L41" s="252">
        <v>500000</v>
      </c>
      <c r="M41" s="251">
        <v>12628000</v>
      </c>
      <c r="P41" s="236">
        <v>39</v>
      </c>
      <c r="Q41" s="236" t="s">
        <v>156</v>
      </c>
      <c r="R41" s="237" t="s">
        <v>249</v>
      </c>
      <c r="S41" s="238">
        <v>43</v>
      </c>
      <c r="T41" s="238" t="s">
        <v>156</v>
      </c>
      <c r="U41" s="159">
        <v>181.38</v>
      </c>
      <c r="V41" s="239">
        <v>1952.3743199999999</v>
      </c>
      <c r="W41" s="240">
        <v>2147.6117520000003</v>
      </c>
      <c r="X41" s="243" t="s">
        <v>168</v>
      </c>
      <c r="Y41" s="250" t="s">
        <v>168</v>
      </c>
      <c r="Z41" s="250">
        <v>31568000</v>
      </c>
      <c r="AA41" s="250">
        <v>5889115</v>
      </c>
      <c r="AB41" s="250">
        <v>25678885</v>
      </c>
      <c r="AC41">
        <f t="shared" si="0"/>
        <v>16169.030537135934</v>
      </c>
    </row>
    <row r="42" spans="1:29" ht="16.5" x14ac:dyDescent="0.3">
      <c r="A42" s="236">
        <v>40</v>
      </c>
      <c r="B42" s="236" t="s">
        <v>35</v>
      </c>
      <c r="C42" s="237" t="s">
        <v>217</v>
      </c>
      <c r="D42" s="238">
        <v>510</v>
      </c>
      <c r="E42" s="238" t="s">
        <v>172</v>
      </c>
      <c r="F42" s="175">
        <v>65.16</v>
      </c>
      <c r="G42" s="239">
        <v>701.38223999999991</v>
      </c>
      <c r="H42" s="240">
        <v>771.52046399999995</v>
      </c>
      <c r="I42" s="243" t="s">
        <v>168</v>
      </c>
      <c r="J42" s="240" t="s">
        <v>168</v>
      </c>
      <c r="K42" s="240">
        <v>13146001</v>
      </c>
      <c r="L42" s="253">
        <v>7756140</v>
      </c>
      <c r="M42" s="250">
        <v>5389861</v>
      </c>
      <c r="P42" s="264" t="s">
        <v>32</v>
      </c>
      <c r="Q42" s="264"/>
      <c r="R42" s="264"/>
      <c r="S42" s="264"/>
      <c r="T42" s="264"/>
      <c r="U42" s="133">
        <f>SUM(U3:U41)</f>
        <v>2607.37</v>
      </c>
      <c r="V42" s="133">
        <f t="shared" ref="V42:W42" si="2">SUM(V3:V41)</f>
        <v>28065.730679999993</v>
      </c>
      <c r="W42" s="133">
        <f t="shared" si="2"/>
        <v>30872.303748000002</v>
      </c>
      <c r="X42" s="133"/>
      <c r="Y42" s="133"/>
      <c r="Z42" s="133">
        <f t="shared" ref="Z42:AB42" si="3">SUM(Z3:Z41)</f>
        <v>514500000</v>
      </c>
      <c r="AA42" s="133">
        <f t="shared" si="3"/>
        <v>268065731</v>
      </c>
      <c r="AB42" s="133">
        <f t="shared" si="3"/>
        <v>246434269</v>
      </c>
    </row>
    <row r="43" spans="1:29" ht="16.5" x14ac:dyDescent="0.3">
      <c r="A43" s="148">
        <v>41</v>
      </c>
      <c r="B43" s="148" t="s">
        <v>35</v>
      </c>
      <c r="C43" s="149" t="s">
        <v>218</v>
      </c>
      <c r="D43" s="150">
        <v>602</v>
      </c>
      <c r="E43" s="150" t="s">
        <v>172</v>
      </c>
      <c r="F43" s="247">
        <v>62.04</v>
      </c>
      <c r="G43" s="241">
        <v>667.79855999999995</v>
      </c>
      <c r="H43" s="242">
        <v>734.57841600000006</v>
      </c>
      <c r="I43" s="244" t="s">
        <v>211</v>
      </c>
      <c r="J43" s="242" t="s">
        <v>168</v>
      </c>
      <c r="K43" s="242">
        <v>12545918</v>
      </c>
      <c r="L43" s="252">
        <v>1100000</v>
      </c>
      <c r="M43" s="251">
        <v>11445918</v>
      </c>
    </row>
    <row r="44" spans="1:29" ht="16.5" x14ac:dyDescent="0.3">
      <c r="A44" s="236">
        <v>42</v>
      </c>
      <c r="B44" s="236" t="s">
        <v>35</v>
      </c>
      <c r="C44" s="237" t="s">
        <v>218</v>
      </c>
      <c r="D44" s="238">
        <v>603</v>
      </c>
      <c r="E44" s="238" t="s">
        <v>172</v>
      </c>
      <c r="F44" s="175">
        <v>62.04</v>
      </c>
      <c r="G44" s="239">
        <v>667.79855999999995</v>
      </c>
      <c r="H44" s="240">
        <v>734.57841600000006</v>
      </c>
      <c r="I44" s="243" t="s">
        <v>168</v>
      </c>
      <c r="J44" s="240" t="s">
        <v>168</v>
      </c>
      <c r="K44" s="240">
        <v>12240000</v>
      </c>
      <c r="L44" s="253">
        <v>2024000</v>
      </c>
      <c r="M44" s="250">
        <v>10216000</v>
      </c>
    </row>
    <row r="45" spans="1:29" ht="16.5" x14ac:dyDescent="0.3">
      <c r="A45" s="148">
        <v>43</v>
      </c>
      <c r="B45" s="148" t="s">
        <v>35</v>
      </c>
      <c r="C45" s="149" t="s">
        <v>218</v>
      </c>
      <c r="D45" s="150">
        <v>608</v>
      </c>
      <c r="E45" s="150" t="s">
        <v>174</v>
      </c>
      <c r="F45" s="175">
        <v>88.58</v>
      </c>
      <c r="G45" s="241">
        <v>953.47511999999995</v>
      </c>
      <c r="H45" s="242">
        <v>1048.8226320000001</v>
      </c>
      <c r="I45" s="244" t="s">
        <v>168</v>
      </c>
      <c r="J45" s="242" t="s">
        <v>168</v>
      </c>
      <c r="K45" s="242">
        <v>15000000</v>
      </c>
      <c r="L45" s="252">
        <v>8810124</v>
      </c>
      <c r="M45" s="251">
        <v>6189876</v>
      </c>
    </row>
    <row r="46" spans="1:29" ht="16.5" x14ac:dyDescent="0.3">
      <c r="A46" s="236">
        <v>44</v>
      </c>
      <c r="B46" s="167" t="s">
        <v>35</v>
      </c>
      <c r="C46" s="169" t="s">
        <v>218</v>
      </c>
      <c r="D46" s="168">
        <v>609</v>
      </c>
      <c r="E46" s="168" t="s">
        <v>172</v>
      </c>
      <c r="F46" s="175">
        <v>65.16</v>
      </c>
      <c r="G46" s="159">
        <v>701.38223999999991</v>
      </c>
      <c r="H46" s="170">
        <v>771.52046399999995</v>
      </c>
      <c r="I46" s="248" t="s">
        <v>211</v>
      </c>
      <c r="J46" s="170" t="s">
        <v>168</v>
      </c>
      <c r="K46" s="170">
        <v>14860360</v>
      </c>
      <c r="L46" s="176">
        <v>8767612</v>
      </c>
      <c r="M46" s="250">
        <v>6092748</v>
      </c>
    </row>
    <row r="47" spans="1:29" ht="16.5" x14ac:dyDescent="0.3">
      <c r="A47" s="148">
        <v>45</v>
      </c>
      <c r="B47" s="148" t="s">
        <v>35</v>
      </c>
      <c r="C47" s="149" t="s">
        <v>219</v>
      </c>
      <c r="D47" s="150">
        <v>703</v>
      </c>
      <c r="E47" s="150" t="s">
        <v>172</v>
      </c>
      <c r="F47" s="175">
        <v>62.04</v>
      </c>
      <c r="G47" s="241">
        <v>667.79855999999995</v>
      </c>
      <c r="H47" s="242">
        <v>734.57841600000006</v>
      </c>
      <c r="I47" s="244" t="s">
        <v>168</v>
      </c>
      <c r="J47" s="242" t="s">
        <v>168</v>
      </c>
      <c r="K47" s="242">
        <v>12240000</v>
      </c>
      <c r="L47" s="252">
        <v>1892900</v>
      </c>
      <c r="M47" s="251">
        <v>10347100</v>
      </c>
    </row>
    <row r="48" spans="1:29" ht="16.5" x14ac:dyDescent="0.3">
      <c r="A48" s="236">
        <v>46</v>
      </c>
      <c r="B48" s="236" t="s">
        <v>35</v>
      </c>
      <c r="C48" s="237" t="s">
        <v>219</v>
      </c>
      <c r="D48" s="238">
        <v>707</v>
      </c>
      <c r="E48" s="238" t="s">
        <v>174</v>
      </c>
      <c r="F48" s="175">
        <v>88.58</v>
      </c>
      <c r="G48" s="239">
        <v>953.47511999999995</v>
      </c>
      <c r="H48" s="240">
        <v>1048.8226320000001</v>
      </c>
      <c r="I48" s="243" t="s">
        <v>168</v>
      </c>
      <c r="J48" s="240" t="s">
        <v>168</v>
      </c>
      <c r="K48" s="240">
        <v>14325000</v>
      </c>
      <c r="L48" s="253">
        <v>14325000</v>
      </c>
      <c r="M48" s="250">
        <v>0</v>
      </c>
    </row>
    <row r="49" spans="1:13" ht="16.5" x14ac:dyDescent="0.3">
      <c r="A49" s="148">
        <v>47</v>
      </c>
      <c r="B49" s="148" t="s">
        <v>35</v>
      </c>
      <c r="C49" s="149" t="s">
        <v>219</v>
      </c>
      <c r="D49" s="150">
        <v>708</v>
      </c>
      <c r="E49" s="150" t="s">
        <v>174</v>
      </c>
      <c r="F49" s="175">
        <v>88.58</v>
      </c>
      <c r="G49" s="241">
        <v>953.47511999999995</v>
      </c>
      <c r="H49" s="242">
        <v>1048.8226320000001</v>
      </c>
      <c r="I49" s="244" t="s">
        <v>168</v>
      </c>
      <c r="J49" s="242" t="s">
        <v>168</v>
      </c>
      <c r="K49" s="242">
        <v>19100000</v>
      </c>
      <c r="L49" s="252">
        <v>0</v>
      </c>
      <c r="M49" s="251">
        <v>19100000</v>
      </c>
    </row>
    <row r="50" spans="1:13" ht="16.5" x14ac:dyDescent="0.3">
      <c r="A50" s="236">
        <v>48</v>
      </c>
      <c r="B50" s="236" t="s">
        <v>35</v>
      </c>
      <c r="C50" s="237" t="s">
        <v>219</v>
      </c>
      <c r="D50" s="238">
        <v>709</v>
      </c>
      <c r="E50" s="238" t="s">
        <v>172</v>
      </c>
      <c r="F50" s="175">
        <v>65.16</v>
      </c>
      <c r="G50" s="239">
        <v>701.38223999999991</v>
      </c>
      <c r="H50" s="240">
        <v>771.52046399999995</v>
      </c>
      <c r="I50" s="243" t="s">
        <v>168</v>
      </c>
      <c r="J50" s="240" t="s">
        <v>168</v>
      </c>
      <c r="K50" s="240">
        <v>14100000</v>
      </c>
      <c r="L50" s="253">
        <v>1069986</v>
      </c>
      <c r="M50" s="250">
        <v>13030014</v>
      </c>
    </row>
    <row r="51" spans="1:13" ht="16.5" x14ac:dyDescent="0.3">
      <c r="A51" s="148">
        <v>49</v>
      </c>
      <c r="B51" s="148" t="s">
        <v>35</v>
      </c>
      <c r="C51" s="149" t="s">
        <v>219</v>
      </c>
      <c r="D51" s="150">
        <v>710</v>
      </c>
      <c r="E51" s="150" t="s">
        <v>172</v>
      </c>
      <c r="F51" s="175">
        <v>65.16</v>
      </c>
      <c r="G51" s="241">
        <v>701.38223999999991</v>
      </c>
      <c r="H51" s="242">
        <v>771.52046399999995</v>
      </c>
      <c r="I51" s="244" t="s">
        <v>168</v>
      </c>
      <c r="J51" s="242" t="s">
        <v>168</v>
      </c>
      <c r="K51" s="242">
        <v>16038750</v>
      </c>
      <c r="L51" s="252">
        <v>2085037</v>
      </c>
      <c r="M51" s="251">
        <v>13953713</v>
      </c>
    </row>
    <row r="52" spans="1:13" ht="16.5" x14ac:dyDescent="0.3">
      <c r="A52" s="236">
        <v>50</v>
      </c>
      <c r="B52" s="236" t="s">
        <v>35</v>
      </c>
      <c r="C52" s="237" t="s">
        <v>220</v>
      </c>
      <c r="D52" s="238">
        <v>802</v>
      </c>
      <c r="E52" s="238" t="s">
        <v>172</v>
      </c>
      <c r="F52" s="175">
        <v>62.04</v>
      </c>
      <c r="G52" s="239">
        <v>667.79855999999995</v>
      </c>
      <c r="H52" s="240">
        <v>734.57841600000006</v>
      </c>
      <c r="I52" s="243" t="s">
        <v>168</v>
      </c>
      <c r="J52" s="240" t="s">
        <v>168</v>
      </c>
      <c r="K52" s="240">
        <v>14008000</v>
      </c>
      <c r="L52" s="253">
        <v>3341509</v>
      </c>
      <c r="M52" s="250">
        <v>10666491</v>
      </c>
    </row>
    <row r="53" spans="1:13" ht="16.5" x14ac:dyDescent="0.3">
      <c r="A53" s="148">
        <v>51</v>
      </c>
      <c r="B53" s="148" t="s">
        <v>35</v>
      </c>
      <c r="C53" s="149" t="s">
        <v>220</v>
      </c>
      <c r="D53" s="150">
        <v>803</v>
      </c>
      <c r="E53" s="150" t="s">
        <v>172</v>
      </c>
      <c r="F53" s="175">
        <v>62.04</v>
      </c>
      <c r="G53" s="241">
        <v>667.79855999999995</v>
      </c>
      <c r="H53" s="242">
        <v>734.57841600000006</v>
      </c>
      <c r="I53" s="244" t="s">
        <v>168</v>
      </c>
      <c r="J53" s="242" t="s">
        <v>168</v>
      </c>
      <c r="K53" s="242">
        <v>14280000</v>
      </c>
      <c r="L53" s="252">
        <v>2999800</v>
      </c>
      <c r="M53" s="251">
        <v>11280200</v>
      </c>
    </row>
    <row r="54" spans="1:13" ht="16.5" x14ac:dyDescent="0.3">
      <c r="A54" s="236">
        <v>52</v>
      </c>
      <c r="B54" s="236" t="s">
        <v>35</v>
      </c>
      <c r="C54" s="237" t="s">
        <v>220</v>
      </c>
      <c r="D54" s="238">
        <v>805</v>
      </c>
      <c r="E54" s="238" t="s">
        <v>172</v>
      </c>
      <c r="F54" s="175">
        <v>66.23</v>
      </c>
      <c r="G54" s="239">
        <v>712.89972</v>
      </c>
      <c r="H54" s="240">
        <v>784.18969200000004</v>
      </c>
      <c r="I54" s="243" t="s">
        <v>168</v>
      </c>
      <c r="J54" s="240" t="s">
        <v>168</v>
      </c>
      <c r="K54" s="240">
        <v>15510000</v>
      </c>
      <c r="L54" s="253">
        <v>3000000</v>
      </c>
      <c r="M54" s="250">
        <v>12510000</v>
      </c>
    </row>
    <row r="55" spans="1:13" ht="16.5" x14ac:dyDescent="0.3">
      <c r="A55" s="148">
        <v>53</v>
      </c>
      <c r="B55" s="148" t="s">
        <v>35</v>
      </c>
      <c r="C55" s="149" t="s">
        <v>220</v>
      </c>
      <c r="D55" s="150">
        <v>806</v>
      </c>
      <c r="E55" s="150" t="s">
        <v>172</v>
      </c>
      <c r="F55" s="175">
        <v>66.23</v>
      </c>
      <c r="G55" s="241">
        <v>712.89972</v>
      </c>
      <c r="H55" s="242">
        <v>784.18969200000004</v>
      </c>
      <c r="I55" s="244" t="s">
        <v>168</v>
      </c>
      <c r="J55" s="242" t="s">
        <v>168</v>
      </c>
      <c r="K55" s="242">
        <v>14981250</v>
      </c>
      <c r="L55" s="252">
        <v>8838938</v>
      </c>
      <c r="M55" s="251">
        <v>6142312</v>
      </c>
    </row>
    <row r="56" spans="1:13" ht="16.5" x14ac:dyDescent="0.3">
      <c r="A56" s="236">
        <v>54</v>
      </c>
      <c r="B56" s="236" t="s">
        <v>35</v>
      </c>
      <c r="C56" s="237" t="s">
        <v>220</v>
      </c>
      <c r="D56" s="238">
        <v>809</v>
      </c>
      <c r="E56" s="238" t="s">
        <v>172</v>
      </c>
      <c r="F56" s="175">
        <v>65.16</v>
      </c>
      <c r="G56" s="239">
        <v>701.38223999999991</v>
      </c>
      <c r="H56" s="240">
        <v>771.52046399999995</v>
      </c>
      <c r="I56" s="243" t="s">
        <v>168</v>
      </c>
      <c r="J56" s="240" t="s">
        <v>168</v>
      </c>
      <c r="K56" s="240">
        <v>16377150</v>
      </c>
      <c r="L56" s="253">
        <v>9508152</v>
      </c>
      <c r="M56" s="250">
        <v>6868998</v>
      </c>
    </row>
    <row r="57" spans="1:13" ht="16.5" x14ac:dyDescent="0.3">
      <c r="A57" s="148">
        <v>55</v>
      </c>
      <c r="B57" s="148" t="s">
        <v>35</v>
      </c>
      <c r="C57" s="149" t="s">
        <v>220</v>
      </c>
      <c r="D57" s="150">
        <v>810</v>
      </c>
      <c r="E57" s="150" t="s">
        <v>172</v>
      </c>
      <c r="F57" s="175">
        <v>65.16</v>
      </c>
      <c r="G57" s="241">
        <v>701.38223999999991</v>
      </c>
      <c r="H57" s="242">
        <v>771.52046399999995</v>
      </c>
      <c r="I57" s="244" t="s">
        <v>168</v>
      </c>
      <c r="J57" s="242" t="s">
        <v>168</v>
      </c>
      <c r="K57" s="242">
        <v>15157500</v>
      </c>
      <c r="L57" s="252">
        <v>2372950</v>
      </c>
      <c r="M57" s="251">
        <v>12784550</v>
      </c>
    </row>
    <row r="58" spans="1:13" ht="16.5" x14ac:dyDescent="0.3">
      <c r="A58" s="236">
        <v>56</v>
      </c>
      <c r="B58" s="236" t="s">
        <v>35</v>
      </c>
      <c r="C58" s="237" t="s">
        <v>221</v>
      </c>
      <c r="D58" s="238">
        <v>902</v>
      </c>
      <c r="E58" s="238" t="s">
        <v>172</v>
      </c>
      <c r="F58" s="175">
        <v>62.04</v>
      </c>
      <c r="G58" s="239">
        <v>667.79855999999995</v>
      </c>
      <c r="H58" s="240">
        <v>734.57841600000006</v>
      </c>
      <c r="I58" s="243" t="s">
        <v>168</v>
      </c>
      <c r="J58" s="240" t="s">
        <v>168</v>
      </c>
      <c r="K58" s="240">
        <v>11058480</v>
      </c>
      <c r="L58" s="253">
        <v>3522339</v>
      </c>
      <c r="M58" s="250">
        <v>7536141</v>
      </c>
    </row>
    <row r="59" spans="1:13" ht="16.5" x14ac:dyDescent="0.3">
      <c r="A59" s="148">
        <v>57</v>
      </c>
      <c r="B59" s="148" t="s">
        <v>35</v>
      </c>
      <c r="C59" s="149" t="s">
        <v>221</v>
      </c>
      <c r="D59" s="150">
        <v>903</v>
      </c>
      <c r="E59" s="150" t="s">
        <v>172</v>
      </c>
      <c r="F59" s="175">
        <v>62.04</v>
      </c>
      <c r="G59" s="241">
        <v>667.79855999999995</v>
      </c>
      <c r="H59" s="242">
        <v>734.57841600000006</v>
      </c>
      <c r="I59" s="244" t="s">
        <v>168</v>
      </c>
      <c r="J59" s="242" t="s">
        <v>168</v>
      </c>
      <c r="K59" s="242">
        <v>12746000</v>
      </c>
      <c r="L59" s="252">
        <v>10392681</v>
      </c>
      <c r="M59" s="251">
        <v>2353319</v>
      </c>
    </row>
    <row r="60" spans="1:13" ht="16.5" x14ac:dyDescent="0.3">
      <c r="A60" s="236">
        <v>58</v>
      </c>
      <c r="B60" s="236" t="s">
        <v>35</v>
      </c>
      <c r="C60" s="237" t="s">
        <v>221</v>
      </c>
      <c r="D60" s="238">
        <v>905</v>
      </c>
      <c r="E60" s="238" t="s">
        <v>172</v>
      </c>
      <c r="F60" s="246">
        <v>66.23</v>
      </c>
      <c r="G60" s="239">
        <v>712.89972</v>
      </c>
      <c r="H60" s="240">
        <v>784.18969200000004</v>
      </c>
      <c r="I60" s="243" t="s">
        <v>167</v>
      </c>
      <c r="J60" s="240" t="s">
        <v>168</v>
      </c>
      <c r="K60" s="240">
        <v>16567500</v>
      </c>
      <c r="L60" s="253">
        <v>0</v>
      </c>
      <c r="M60" s="250">
        <v>16567500</v>
      </c>
    </row>
    <row r="61" spans="1:13" ht="16.5" x14ac:dyDescent="0.3">
      <c r="A61" s="148">
        <v>59</v>
      </c>
      <c r="B61" s="148" t="s">
        <v>35</v>
      </c>
      <c r="C61" s="149" t="s">
        <v>221</v>
      </c>
      <c r="D61" s="150">
        <v>907</v>
      </c>
      <c r="E61" s="150" t="s">
        <v>174</v>
      </c>
      <c r="F61" s="175">
        <v>88.58</v>
      </c>
      <c r="G61" s="241">
        <v>953.47511999999995</v>
      </c>
      <c r="H61" s="242">
        <v>1048.8226320000001</v>
      </c>
      <c r="I61" s="244" t="s">
        <v>168</v>
      </c>
      <c r="J61" s="242" t="s">
        <v>168</v>
      </c>
      <c r="K61" s="242">
        <v>19465000</v>
      </c>
      <c r="L61" s="252">
        <v>2710404</v>
      </c>
      <c r="M61" s="251">
        <v>16754596</v>
      </c>
    </row>
    <row r="62" spans="1:13" ht="16.5" x14ac:dyDescent="0.3">
      <c r="A62" s="236">
        <v>60</v>
      </c>
      <c r="B62" s="236" t="s">
        <v>35</v>
      </c>
      <c r="C62" s="237" t="s">
        <v>221</v>
      </c>
      <c r="D62" s="238">
        <v>908</v>
      </c>
      <c r="E62" s="238" t="s">
        <v>174</v>
      </c>
      <c r="F62" s="175">
        <v>88.58</v>
      </c>
      <c r="G62" s="239">
        <v>953.47511999999995</v>
      </c>
      <c r="H62" s="240">
        <v>1048.8226320000001</v>
      </c>
      <c r="I62" s="243" t="s">
        <v>168</v>
      </c>
      <c r="J62" s="240" t="s">
        <v>168</v>
      </c>
      <c r="K62" s="240">
        <v>17500000</v>
      </c>
      <c r="L62" s="253">
        <v>10100000</v>
      </c>
      <c r="M62" s="250">
        <v>7400000</v>
      </c>
    </row>
    <row r="63" spans="1:13" ht="16.5" x14ac:dyDescent="0.3">
      <c r="A63" s="148">
        <v>61</v>
      </c>
      <c r="B63" s="148" t="s">
        <v>35</v>
      </c>
      <c r="C63" s="149" t="s">
        <v>221</v>
      </c>
      <c r="D63" s="150">
        <v>909</v>
      </c>
      <c r="E63" s="150" t="s">
        <v>172</v>
      </c>
      <c r="F63" s="175">
        <v>65.16</v>
      </c>
      <c r="G63" s="241">
        <v>701.38223999999991</v>
      </c>
      <c r="H63" s="242">
        <v>771.52046399999995</v>
      </c>
      <c r="I63" s="244" t="s">
        <v>168</v>
      </c>
      <c r="J63" s="242" t="s">
        <v>168</v>
      </c>
      <c r="K63" s="242">
        <v>10927500</v>
      </c>
      <c r="L63" s="252">
        <v>6447225</v>
      </c>
      <c r="M63" s="251">
        <v>4480275</v>
      </c>
    </row>
    <row r="64" spans="1:13" ht="16.5" x14ac:dyDescent="0.3">
      <c r="A64" s="236">
        <v>62</v>
      </c>
      <c r="B64" s="236" t="s">
        <v>35</v>
      </c>
      <c r="C64" s="237" t="s">
        <v>221</v>
      </c>
      <c r="D64" s="238">
        <v>910</v>
      </c>
      <c r="E64" s="238" t="s">
        <v>172</v>
      </c>
      <c r="F64" s="175">
        <v>65.16</v>
      </c>
      <c r="G64" s="239">
        <v>701.38223999999991</v>
      </c>
      <c r="H64" s="240">
        <v>771.52046399999995</v>
      </c>
      <c r="I64" s="243" t="s">
        <v>168</v>
      </c>
      <c r="J64" s="240" t="s">
        <v>168</v>
      </c>
      <c r="K64" s="240">
        <v>13042500</v>
      </c>
      <c r="L64" s="253">
        <v>10049000</v>
      </c>
      <c r="M64" s="250">
        <v>2993500</v>
      </c>
    </row>
    <row r="65" spans="1:13" ht="16.5" x14ac:dyDescent="0.3">
      <c r="A65" s="148">
        <v>63</v>
      </c>
      <c r="B65" s="148" t="s">
        <v>35</v>
      </c>
      <c r="C65" s="149" t="s">
        <v>222</v>
      </c>
      <c r="D65" s="150">
        <v>1002</v>
      </c>
      <c r="E65" s="150" t="s">
        <v>172</v>
      </c>
      <c r="F65" s="175">
        <v>62.04</v>
      </c>
      <c r="G65" s="241">
        <v>667.79855999999995</v>
      </c>
      <c r="H65" s="242">
        <v>734.57841600000006</v>
      </c>
      <c r="I65" s="244" t="s">
        <v>168</v>
      </c>
      <c r="J65" s="242" t="s">
        <v>168</v>
      </c>
      <c r="K65" s="242">
        <v>14840000</v>
      </c>
      <c r="L65" s="252">
        <v>3422200</v>
      </c>
      <c r="M65" s="251">
        <v>11417800</v>
      </c>
    </row>
    <row r="66" spans="1:13" ht="16.5" x14ac:dyDescent="0.3">
      <c r="A66" s="236">
        <v>64</v>
      </c>
      <c r="B66" s="236" t="s">
        <v>35</v>
      </c>
      <c r="C66" s="237" t="s">
        <v>222</v>
      </c>
      <c r="D66" s="238">
        <v>1003</v>
      </c>
      <c r="E66" s="238" t="s">
        <v>172</v>
      </c>
      <c r="F66" s="246">
        <v>62.04</v>
      </c>
      <c r="G66" s="239">
        <v>667.79855999999995</v>
      </c>
      <c r="H66" s="240">
        <v>734.57841600000006</v>
      </c>
      <c r="I66" s="243" t="s">
        <v>168</v>
      </c>
      <c r="J66" s="240" t="s">
        <v>168</v>
      </c>
      <c r="K66" s="240">
        <v>14450000</v>
      </c>
      <c r="L66" s="253">
        <v>867000</v>
      </c>
      <c r="M66" s="250">
        <v>13583000</v>
      </c>
    </row>
    <row r="67" spans="1:13" ht="16.5" x14ac:dyDescent="0.3">
      <c r="A67" s="148">
        <v>65</v>
      </c>
      <c r="B67" s="148" t="s">
        <v>35</v>
      </c>
      <c r="C67" s="149" t="s">
        <v>222</v>
      </c>
      <c r="D67" s="150">
        <v>1004</v>
      </c>
      <c r="E67" s="150" t="s">
        <v>173</v>
      </c>
      <c r="F67" s="175">
        <v>33.159999999999997</v>
      </c>
      <c r="G67" s="241">
        <v>356.93423999999993</v>
      </c>
      <c r="H67" s="242">
        <v>392.62766399999998</v>
      </c>
      <c r="I67" s="244" t="s">
        <v>168</v>
      </c>
      <c r="J67" s="242" t="s">
        <v>168</v>
      </c>
      <c r="K67" s="242">
        <v>6696000</v>
      </c>
      <c r="L67" s="252">
        <v>2000000</v>
      </c>
      <c r="M67" s="251">
        <v>4696000</v>
      </c>
    </row>
    <row r="68" spans="1:13" ht="16.5" x14ac:dyDescent="0.3">
      <c r="A68" s="236">
        <v>66</v>
      </c>
      <c r="B68" s="236" t="s">
        <v>35</v>
      </c>
      <c r="C68" s="237" t="s">
        <v>222</v>
      </c>
      <c r="D68" s="238">
        <v>1005</v>
      </c>
      <c r="E68" s="238" t="s">
        <v>172</v>
      </c>
      <c r="F68" s="175">
        <v>66.23</v>
      </c>
      <c r="G68" s="239">
        <v>712.89972</v>
      </c>
      <c r="H68" s="240">
        <v>784.18969200000004</v>
      </c>
      <c r="I68" s="243" t="s">
        <v>168</v>
      </c>
      <c r="J68" s="240" t="s">
        <v>168</v>
      </c>
      <c r="K68" s="240">
        <v>10575000</v>
      </c>
      <c r="L68" s="253">
        <v>4932193</v>
      </c>
      <c r="M68" s="250">
        <v>5642807</v>
      </c>
    </row>
    <row r="69" spans="1:13" ht="16.5" x14ac:dyDescent="0.3">
      <c r="A69" s="148">
        <v>67</v>
      </c>
      <c r="B69" s="148" t="s">
        <v>35</v>
      </c>
      <c r="C69" s="149" t="s">
        <v>222</v>
      </c>
      <c r="D69" s="150">
        <v>1006</v>
      </c>
      <c r="E69" s="150" t="s">
        <v>172</v>
      </c>
      <c r="F69" s="175">
        <v>66.23</v>
      </c>
      <c r="G69" s="241">
        <v>712.89972</v>
      </c>
      <c r="H69" s="242">
        <v>784.18969200000004</v>
      </c>
      <c r="I69" s="244" t="s">
        <v>168</v>
      </c>
      <c r="J69" s="242" t="s">
        <v>168</v>
      </c>
      <c r="K69" s="242">
        <v>10575000</v>
      </c>
      <c r="L69" s="252">
        <v>4937110</v>
      </c>
      <c r="M69" s="251">
        <v>5637890</v>
      </c>
    </row>
    <row r="70" spans="1:13" ht="16.5" x14ac:dyDescent="0.3">
      <c r="A70" s="236">
        <v>68</v>
      </c>
      <c r="B70" s="236" t="s">
        <v>35</v>
      </c>
      <c r="C70" s="237" t="s">
        <v>222</v>
      </c>
      <c r="D70" s="238">
        <v>1009</v>
      </c>
      <c r="E70" s="238" t="s">
        <v>172</v>
      </c>
      <c r="F70" s="175">
        <v>65.16</v>
      </c>
      <c r="G70" s="239">
        <v>701.38223999999991</v>
      </c>
      <c r="H70" s="240">
        <v>771.52046399999995</v>
      </c>
      <c r="I70" s="243" t="s">
        <v>168</v>
      </c>
      <c r="J70" s="240" t="s">
        <v>168</v>
      </c>
      <c r="K70" s="240">
        <v>11280000</v>
      </c>
      <c r="L70" s="253">
        <v>7219200</v>
      </c>
      <c r="M70" s="250">
        <v>4060800</v>
      </c>
    </row>
    <row r="71" spans="1:13" ht="16.5" x14ac:dyDescent="0.3">
      <c r="A71" s="148">
        <v>69</v>
      </c>
      <c r="B71" s="148" t="s">
        <v>35</v>
      </c>
      <c r="C71" s="149" t="s">
        <v>223</v>
      </c>
      <c r="D71" s="150">
        <v>1102</v>
      </c>
      <c r="E71" s="150" t="s">
        <v>172</v>
      </c>
      <c r="F71" s="247">
        <v>62.04</v>
      </c>
      <c r="G71" s="241">
        <v>667.79855999999995</v>
      </c>
      <c r="H71" s="242">
        <v>734.57841600000006</v>
      </c>
      <c r="I71" s="244" t="s">
        <v>211</v>
      </c>
      <c r="J71" s="242" t="s">
        <v>168</v>
      </c>
      <c r="K71" s="242">
        <v>11792560</v>
      </c>
      <c r="L71" s="252">
        <v>2900000</v>
      </c>
      <c r="M71" s="251">
        <v>8892560</v>
      </c>
    </row>
    <row r="72" spans="1:13" ht="16.5" x14ac:dyDescent="0.3">
      <c r="A72" s="236">
        <v>70</v>
      </c>
      <c r="B72" s="236" t="s">
        <v>35</v>
      </c>
      <c r="C72" s="237" t="s">
        <v>223</v>
      </c>
      <c r="D72" s="238">
        <v>1106</v>
      </c>
      <c r="E72" s="238" t="s">
        <v>172</v>
      </c>
      <c r="F72" s="175">
        <v>66.23</v>
      </c>
      <c r="G72" s="239">
        <v>712.89972</v>
      </c>
      <c r="H72" s="240">
        <v>784.18969200000004</v>
      </c>
      <c r="I72" s="243" t="s">
        <v>168</v>
      </c>
      <c r="J72" s="240" t="s">
        <v>168</v>
      </c>
      <c r="K72" s="240">
        <v>11805000</v>
      </c>
      <c r="L72" s="253">
        <v>2715150</v>
      </c>
      <c r="M72" s="250">
        <v>9089850</v>
      </c>
    </row>
    <row r="73" spans="1:13" ht="16.5" x14ac:dyDescent="0.3">
      <c r="A73" s="148">
        <v>71</v>
      </c>
      <c r="B73" s="148" t="s">
        <v>35</v>
      </c>
      <c r="C73" s="149" t="s">
        <v>223</v>
      </c>
      <c r="D73" s="150">
        <v>1108</v>
      </c>
      <c r="E73" s="150" t="s">
        <v>174</v>
      </c>
      <c r="F73" s="175">
        <v>88.58</v>
      </c>
      <c r="G73" s="241">
        <v>953.47511999999995</v>
      </c>
      <c r="H73" s="242">
        <v>1048.8226320000001</v>
      </c>
      <c r="I73" s="244" t="s">
        <v>168</v>
      </c>
      <c r="J73" s="242" t="s">
        <v>168</v>
      </c>
      <c r="K73" s="242">
        <v>19136250</v>
      </c>
      <c r="L73" s="252">
        <v>11048025</v>
      </c>
      <c r="M73" s="251">
        <v>8088225</v>
      </c>
    </row>
    <row r="74" spans="1:13" ht="16.5" x14ac:dyDescent="0.3">
      <c r="A74" s="236">
        <v>72</v>
      </c>
      <c r="B74" s="236" t="s">
        <v>35</v>
      </c>
      <c r="C74" s="237" t="s">
        <v>223</v>
      </c>
      <c r="D74" s="238">
        <v>1109</v>
      </c>
      <c r="E74" s="238" t="s">
        <v>172</v>
      </c>
      <c r="F74" s="246">
        <v>65.16</v>
      </c>
      <c r="G74" s="239">
        <v>701.38223999999991</v>
      </c>
      <c r="H74" s="240">
        <v>771.52046399999995</v>
      </c>
      <c r="I74" s="243" t="s">
        <v>167</v>
      </c>
      <c r="J74" s="240" t="s">
        <v>168</v>
      </c>
      <c r="K74" s="240">
        <v>13465500</v>
      </c>
      <c r="L74" s="253">
        <v>1077240</v>
      </c>
      <c r="M74" s="250">
        <v>12388260</v>
      </c>
    </row>
    <row r="75" spans="1:13" ht="16.5" x14ac:dyDescent="0.3">
      <c r="A75" s="148">
        <v>73</v>
      </c>
      <c r="B75" s="148" t="s">
        <v>35</v>
      </c>
      <c r="C75" s="149" t="s">
        <v>223</v>
      </c>
      <c r="D75" s="150">
        <v>1110</v>
      </c>
      <c r="E75" s="150" t="s">
        <v>172</v>
      </c>
      <c r="F75" s="175">
        <v>65.16</v>
      </c>
      <c r="G75" s="241">
        <v>701.38223999999991</v>
      </c>
      <c r="H75" s="242">
        <v>771.52046399999995</v>
      </c>
      <c r="I75" s="244" t="s">
        <v>168</v>
      </c>
      <c r="J75" s="242" t="s">
        <v>168</v>
      </c>
      <c r="K75" s="242">
        <v>17448750</v>
      </c>
      <c r="L75" s="252">
        <v>10120276</v>
      </c>
      <c r="M75" s="251">
        <v>7328474</v>
      </c>
    </row>
    <row r="76" spans="1:13" ht="16.5" x14ac:dyDescent="0.3">
      <c r="A76" s="236">
        <v>74</v>
      </c>
      <c r="B76" s="236" t="s">
        <v>35</v>
      </c>
      <c r="C76" s="237" t="s">
        <v>224</v>
      </c>
      <c r="D76" s="238">
        <v>1203</v>
      </c>
      <c r="E76" s="238" t="s">
        <v>172</v>
      </c>
      <c r="F76" s="175">
        <v>62.04</v>
      </c>
      <c r="G76" s="239">
        <v>667.79855999999995</v>
      </c>
      <c r="H76" s="240">
        <v>734.57841600000006</v>
      </c>
      <c r="I76" s="243" t="s">
        <v>168</v>
      </c>
      <c r="J76" s="240" t="s">
        <v>168</v>
      </c>
      <c r="K76" s="240">
        <v>10200000</v>
      </c>
      <c r="L76" s="253">
        <v>480142</v>
      </c>
      <c r="M76" s="250">
        <v>9719858</v>
      </c>
    </row>
    <row r="77" spans="1:13" ht="16.5" x14ac:dyDescent="0.3">
      <c r="A77" s="148">
        <v>75</v>
      </c>
      <c r="B77" s="148" t="s">
        <v>35</v>
      </c>
      <c r="C77" s="149" t="s">
        <v>224</v>
      </c>
      <c r="D77" s="150">
        <v>1205</v>
      </c>
      <c r="E77" s="150" t="s">
        <v>172</v>
      </c>
      <c r="F77" s="175">
        <v>66.23</v>
      </c>
      <c r="G77" s="241">
        <v>712.89972</v>
      </c>
      <c r="H77" s="242">
        <v>784.18969200000004</v>
      </c>
      <c r="I77" s="244" t="s">
        <v>168</v>
      </c>
      <c r="J77" s="242" t="s">
        <v>168</v>
      </c>
      <c r="K77" s="242">
        <v>14506750</v>
      </c>
      <c r="L77" s="252">
        <v>2501000</v>
      </c>
      <c r="M77" s="251">
        <v>12005750</v>
      </c>
    </row>
    <row r="78" spans="1:13" ht="16.5" x14ac:dyDescent="0.3">
      <c r="A78" s="236">
        <v>76</v>
      </c>
      <c r="B78" s="236" t="s">
        <v>35</v>
      </c>
      <c r="C78" s="237" t="s">
        <v>224</v>
      </c>
      <c r="D78" s="238">
        <v>1206</v>
      </c>
      <c r="E78" s="238" t="s">
        <v>172</v>
      </c>
      <c r="F78" s="175">
        <v>66.23</v>
      </c>
      <c r="G78" s="239">
        <v>712.89972</v>
      </c>
      <c r="H78" s="240">
        <v>784.18969200000004</v>
      </c>
      <c r="I78" s="243" t="s">
        <v>168</v>
      </c>
      <c r="J78" s="240" t="s">
        <v>168</v>
      </c>
      <c r="K78" s="240">
        <v>11015625</v>
      </c>
      <c r="L78" s="253">
        <v>6606541</v>
      </c>
      <c r="M78" s="250">
        <v>4409084</v>
      </c>
    </row>
    <row r="79" spans="1:13" ht="16.5" x14ac:dyDescent="0.3">
      <c r="A79" s="148">
        <v>77</v>
      </c>
      <c r="B79" s="148" t="s">
        <v>35</v>
      </c>
      <c r="C79" s="149" t="s">
        <v>224</v>
      </c>
      <c r="D79" s="150">
        <v>1208</v>
      </c>
      <c r="E79" s="150" t="s">
        <v>174</v>
      </c>
      <c r="F79" s="175">
        <v>88.58</v>
      </c>
      <c r="G79" s="241">
        <v>953.47511999999995</v>
      </c>
      <c r="H79" s="242">
        <v>1048.8226320000001</v>
      </c>
      <c r="I79" s="244" t="s">
        <v>168</v>
      </c>
      <c r="J79" s="242" t="s">
        <v>168</v>
      </c>
      <c r="K79" s="242">
        <v>20532500</v>
      </c>
      <c r="L79" s="252">
        <v>10114175</v>
      </c>
      <c r="M79" s="251">
        <v>10418325</v>
      </c>
    </row>
    <row r="80" spans="1:13" ht="16.5" x14ac:dyDescent="0.3">
      <c r="A80" s="236">
        <v>78</v>
      </c>
      <c r="B80" s="236" t="s">
        <v>35</v>
      </c>
      <c r="C80" s="237" t="s">
        <v>224</v>
      </c>
      <c r="D80" s="238">
        <v>1209</v>
      </c>
      <c r="E80" s="238" t="s">
        <v>172</v>
      </c>
      <c r="F80" s="246">
        <v>65.16</v>
      </c>
      <c r="G80" s="239">
        <v>701.38223999999991</v>
      </c>
      <c r="H80" s="240">
        <v>771.52046399999995</v>
      </c>
      <c r="I80" s="243" t="s">
        <v>167</v>
      </c>
      <c r="J80" s="240" t="s">
        <v>168</v>
      </c>
      <c r="K80" s="240">
        <v>13379250</v>
      </c>
      <c r="L80" s="253">
        <v>142003</v>
      </c>
      <c r="M80" s="250">
        <v>13237247</v>
      </c>
    </row>
    <row r="81" spans="1:13" ht="16.5" x14ac:dyDescent="0.3">
      <c r="A81" s="148">
        <v>79</v>
      </c>
      <c r="B81" s="148" t="s">
        <v>35</v>
      </c>
      <c r="C81" s="149" t="s">
        <v>224</v>
      </c>
      <c r="D81" s="150">
        <v>1210</v>
      </c>
      <c r="E81" s="150" t="s">
        <v>172</v>
      </c>
      <c r="F81" s="175">
        <v>65.16</v>
      </c>
      <c r="G81" s="241">
        <v>701.38223999999991</v>
      </c>
      <c r="H81" s="242">
        <v>771.52046399999995</v>
      </c>
      <c r="I81" s="244" t="s">
        <v>168</v>
      </c>
      <c r="J81" s="242" t="s">
        <v>168</v>
      </c>
      <c r="K81" s="242">
        <v>15510000</v>
      </c>
      <c r="L81" s="252">
        <v>8995800</v>
      </c>
      <c r="M81" s="251">
        <v>6514200</v>
      </c>
    </row>
    <row r="82" spans="1:13" ht="16.5" x14ac:dyDescent="0.3">
      <c r="A82" s="236">
        <v>80</v>
      </c>
      <c r="B82" s="236" t="s">
        <v>35</v>
      </c>
      <c r="C82" s="237" t="s">
        <v>225</v>
      </c>
      <c r="D82" s="238">
        <v>1303</v>
      </c>
      <c r="E82" s="238" t="s">
        <v>172</v>
      </c>
      <c r="F82" s="246">
        <v>62.04</v>
      </c>
      <c r="G82" s="239">
        <v>667.79855999999995</v>
      </c>
      <c r="H82" s="240">
        <v>734.57841600000006</v>
      </c>
      <c r="I82" s="243" t="s">
        <v>167</v>
      </c>
      <c r="J82" s="240" t="s">
        <v>168</v>
      </c>
      <c r="K82" s="240">
        <v>18374040</v>
      </c>
      <c r="L82" s="253">
        <v>1856400</v>
      </c>
      <c r="M82" s="250">
        <v>16517640</v>
      </c>
    </row>
    <row r="83" spans="1:13" ht="16.5" x14ac:dyDescent="0.3">
      <c r="A83" s="148">
        <v>81</v>
      </c>
      <c r="B83" s="148" t="s">
        <v>35</v>
      </c>
      <c r="C83" s="149" t="s">
        <v>225</v>
      </c>
      <c r="D83" s="150">
        <v>1305</v>
      </c>
      <c r="E83" s="150" t="s">
        <v>172</v>
      </c>
      <c r="F83" s="175">
        <v>66.23</v>
      </c>
      <c r="G83" s="241">
        <v>712.89972</v>
      </c>
      <c r="H83" s="242">
        <v>784.18969200000004</v>
      </c>
      <c r="I83" s="244" t="s">
        <v>168</v>
      </c>
      <c r="J83" s="242" t="s">
        <v>168</v>
      </c>
      <c r="K83" s="242">
        <v>10800600</v>
      </c>
      <c r="L83" s="252">
        <v>8514000</v>
      </c>
      <c r="M83" s="251">
        <v>2286600</v>
      </c>
    </row>
    <row r="84" spans="1:13" ht="16.5" x14ac:dyDescent="0.3">
      <c r="A84" s="236">
        <v>82</v>
      </c>
      <c r="B84" s="236" t="s">
        <v>35</v>
      </c>
      <c r="C84" s="237" t="s">
        <v>225</v>
      </c>
      <c r="D84" s="238">
        <v>1306</v>
      </c>
      <c r="E84" s="238" t="s">
        <v>172</v>
      </c>
      <c r="F84" s="175">
        <v>66.23</v>
      </c>
      <c r="G84" s="239">
        <v>712.89972</v>
      </c>
      <c r="H84" s="240">
        <v>784.18969200000004</v>
      </c>
      <c r="I84" s="243" t="s">
        <v>168</v>
      </c>
      <c r="J84" s="240" t="s">
        <v>168</v>
      </c>
      <c r="K84" s="240">
        <v>14110575</v>
      </c>
      <c r="L84" s="253">
        <v>4214029</v>
      </c>
      <c r="M84" s="250">
        <v>9896546</v>
      </c>
    </row>
    <row r="85" spans="1:13" ht="16.5" x14ac:dyDescent="0.3">
      <c r="A85" s="148">
        <v>83</v>
      </c>
      <c r="B85" s="148" t="s">
        <v>35</v>
      </c>
      <c r="C85" s="149" t="s">
        <v>225</v>
      </c>
      <c r="D85" s="150">
        <v>1307</v>
      </c>
      <c r="E85" s="150" t="s">
        <v>174</v>
      </c>
      <c r="F85" s="175">
        <v>88.58</v>
      </c>
      <c r="G85" s="241">
        <v>953.47511999999995</v>
      </c>
      <c r="H85" s="242">
        <v>1048.8226320000001</v>
      </c>
      <c r="I85" s="244" t="s">
        <v>168</v>
      </c>
      <c r="J85" s="242" t="s">
        <v>168</v>
      </c>
      <c r="K85" s="242">
        <v>20982970</v>
      </c>
      <c r="L85" s="252">
        <v>15467580</v>
      </c>
      <c r="M85" s="251">
        <v>5515390</v>
      </c>
    </row>
    <row r="86" spans="1:13" ht="16.5" x14ac:dyDescent="0.3">
      <c r="A86" s="236">
        <v>84</v>
      </c>
      <c r="B86" s="236" t="s">
        <v>35</v>
      </c>
      <c r="C86" s="237" t="s">
        <v>225</v>
      </c>
      <c r="D86" s="238">
        <v>1308</v>
      </c>
      <c r="E86" s="238" t="s">
        <v>174</v>
      </c>
      <c r="F86" s="175">
        <v>88.58</v>
      </c>
      <c r="G86" s="239">
        <v>953.47511999999995</v>
      </c>
      <c r="H86" s="240">
        <v>1048.8226320000001</v>
      </c>
      <c r="I86" s="243" t="s">
        <v>168</v>
      </c>
      <c r="J86" s="240" t="s">
        <v>168</v>
      </c>
      <c r="K86" s="240">
        <v>16712500</v>
      </c>
      <c r="L86" s="253">
        <v>2337000</v>
      </c>
      <c r="M86" s="250">
        <v>14375500</v>
      </c>
    </row>
    <row r="87" spans="1:13" ht="16.5" x14ac:dyDescent="0.3">
      <c r="A87" s="148">
        <v>85</v>
      </c>
      <c r="B87" s="148" t="s">
        <v>35</v>
      </c>
      <c r="C87" s="149" t="s">
        <v>225</v>
      </c>
      <c r="D87" s="150">
        <v>1309</v>
      </c>
      <c r="E87" s="150" t="s">
        <v>172</v>
      </c>
      <c r="F87" s="175">
        <v>65.16</v>
      </c>
      <c r="G87" s="241">
        <v>701.38223999999991</v>
      </c>
      <c r="H87" s="242">
        <v>771.52046399999995</v>
      </c>
      <c r="I87" s="244" t="s">
        <v>168</v>
      </c>
      <c r="J87" s="242" t="s">
        <v>168</v>
      </c>
      <c r="K87" s="242">
        <v>17202000</v>
      </c>
      <c r="L87" s="252">
        <v>3956460</v>
      </c>
      <c r="M87" s="251">
        <v>13245540</v>
      </c>
    </row>
    <row r="88" spans="1:13" ht="16.5" x14ac:dyDescent="0.3">
      <c r="A88" s="236">
        <v>86</v>
      </c>
      <c r="B88" s="236" t="s">
        <v>35</v>
      </c>
      <c r="C88" s="237" t="s">
        <v>225</v>
      </c>
      <c r="D88" s="238">
        <v>1310</v>
      </c>
      <c r="E88" s="238" t="s">
        <v>172</v>
      </c>
      <c r="F88" s="175">
        <v>65.16</v>
      </c>
      <c r="G88" s="239">
        <v>701.38223999999991</v>
      </c>
      <c r="H88" s="240">
        <v>771.52046399999995</v>
      </c>
      <c r="I88" s="243" t="s">
        <v>168</v>
      </c>
      <c r="J88" s="240" t="s">
        <v>168</v>
      </c>
      <c r="K88" s="240">
        <v>14805000</v>
      </c>
      <c r="L88" s="253">
        <v>3544242</v>
      </c>
      <c r="M88" s="250">
        <v>11260758</v>
      </c>
    </row>
    <row r="89" spans="1:13" ht="16.5" x14ac:dyDescent="0.3">
      <c r="A89" s="148">
        <v>87</v>
      </c>
      <c r="B89" s="167" t="s">
        <v>35</v>
      </c>
      <c r="C89" s="169" t="s">
        <v>226</v>
      </c>
      <c r="D89" s="168">
        <v>1402</v>
      </c>
      <c r="E89" s="168" t="s">
        <v>172</v>
      </c>
      <c r="F89" s="175">
        <v>62.04</v>
      </c>
      <c r="G89" s="159">
        <v>667.79855999999995</v>
      </c>
      <c r="H89" s="170">
        <v>734.57841600000006</v>
      </c>
      <c r="I89" s="248" t="s">
        <v>211</v>
      </c>
      <c r="J89" s="170" t="s">
        <v>168</v>
      </c>
      <c r="K89" s="170">
        <v>12500000</v>
      </c>
      <c r="L89" s="176">
        <v>7354035</v>
      </c>
      <c r="M89" s="251">
        <v>5145965</v>
      </c>
    </row>
    <row r="90" spans="1:13" ht="16.5" x14ac:dyDescent="0.3">
      <c r="A90" s="236">
        <v>88</v>
      </c>
      <c r="B90" s="236" t="s">
        <v>35</v>
      </c>
      <c r="C90" s="237" t="s">
        <v>226</v>
      </c>
      <c r="D90" s="238">
        <v>1405</v>
      </c>
      <c r="E90" s="238" t="s">
        <v>172</v>
      </c>
      <c r="F90" s="175">
        <v>66.23</v>
      </c>
      <c r="G90" s="239">
        <v>712.89972</v>
      </c>
      <c r="H90" s="240">
        <v>784.18969200000004</v>
      </c>
      <c r="I90" s="243" t="s">
        <v>168</v>
      </c>
      <c r="J90" s="240" t="s">
        <v>168</v>
      </c>
      <c r="K90" s="240">
        <v>10575000</v>
      </c>
      <c r="L90" s="253">
        <v>10575000</v>
      </c>
      <c r="M90" s="250">
        <v>0</v>
      </c>
    </row>
    <row r="91" spans="1:13" ht="16.5" x14ac:dyDescent="0.3">
      <c r="A91" s="148">
        <v>89</v>
      </c>
      <c r="B91" s="148" t="s">
        <v>35</v>
      </c>
      <c r="C91" s="149" t="s">
        <v>226</v>
      </c>
      <c r="D91" s="150">
        <v>1406</v>
      </c>
      <c r="E91" s="150" t="s">
        <v>172</v>
      </c>
      <c r="F91" s="175">
        <v>66.23</v>
      </c>
      <c r="G91" s="241">
        <v>712.89972</v>
      </c>
      <c r="H91" s="242">
        <v>784.18969200000004</v>
      </c>
      <c r="I91" s="244" t="s">
        <v>168</v>
      </c>
      <c r="J91" s="242" t="s">
        <v>168</v>
      </c>
      <c r="K91" s="242">
        <v>10575000</v>
      </c>
      <c r="L91" s="252">
        <v>10575000</v>
      </c>
      <c r="M91" s="251">
        <v>0</v>
      </c>
    </row>
    <row r="92" spans="1:13" ht="16.5" x14ac:dyDescent="0.3">
      <c r="A92" s="236">
        <v>90</v>
      </c>
      <c r="B92" s="236" t="s">
        <v>35</v>
      </c>
      <c r="C92" s="237" t="s">
        <v>226</v>
      </c>
      <c r="D92" s="238">
        <v>1407</v>
      </c>
      <c r="E92" s="238" t="s">
        <v>174</v>
      </c>
      <c r="F92" s="175">
        <v>88.58</v>
      </c>
      <c r="G92" s="239">
        <v>953.47511999999995</v>
      </c>
      <c r="H92" s="240">
        <v>1048.8226320000001</v>
      </c>
      <c r="I92" s="243" t="s">
        <v>168</v>
      </c>
      <c r="J92" s="240" t="s">
        <v>168</v>
      </c>
      <c r="K92" s="240">
        <v>18373875</v>
      </c>
      <c r="L92" s="253">
        <v>10840586</v>
      </c>
      <c r="M92" s="250">
        <v>7533289</v>
      </c>
    </row>
    <row r="93" spans="1:13" ht="16.5" x14ac:dyDescent="0.3">
      <c r="A93" s="148">
        <v>91</v>
      </c>
      <c r="B93" s="148" t="s">
        <v>35</v>
      </c>
      <c r="C93" s="149" t="s">
        <v>226</v>
      </c>
      <c r="D93" s="150">
        <v>1408</v>
      </c>
      <c r="E93" s="150" t="s">
        <v>174</v>
      </c>
      <c r="F93" s="175">
        <v>88.58</v>
      </c>
      <c r="G93" s="241">
        <v>953.47511999999995</v>
      </c>
      <c r="H93" s="242">
        <v>1048.8226320000001</v>
      </c>
      <c r="I93" s="244" t="s">
        <v>168</v>
      </c>
      <c r="J93" s="242" t="s">
        <v>168</v>
      </c>
      <c r="K93" s="242">
        <v>16235000</v>
      </c>
      <c r="L93" s="252">
        <v>1612250</v>
      </c>
      <c r="M93" s="251">
        <v>14622750</v>
      </c>
    </row>
    <row r="94" spans="1:13" ht="16.5" x14ac:dyDescent="0.3">
      <c r="A94" s="236">
        <v>92</v>
      </c>
      <c r="B94" s="236" t="s">
        <v>35</v>
      </c>
      <c r="C94" s="237" t="s">
        <v>226</v>
      </c>
      <c r="D94" s="238">
        <v>1409</v>
      </c>
      <c r="E94" s="238" t="s">
        <v>172</v>
      </c>
      <c r="F94" s="175">
        <v>65.16</v>
      </c>
      <c r="G94" s="239">
        <v>701.38223999999991</v>
      </c>
      <c r="H94" s="240">
        <v>771.52046399999995</v>
      </c>
      <c r="I94" s="243" t="s">
        <v>168</v>
      </c>
      <c r="J94" s="240" t="s">
        <v>168</v>
      </c>
      <c r="K94" s="240">
        <v>14981250</v>
      </c>
      <c r="L94" s="253">
        <v>7853165</v>
      </c>
      <c r="M94" s="250">
        <v>7128085</v>
      </c>
    </row>
    <row r="95" spans="1:13" ht="16.5" x14ac:dyDescent="0.3">
      <c r="A95" s="148">
        <v>93</v>
      </c>
      <c r="B95" s="148" t="s">
        <v>35</v>
      </c>
      <c r="C95" s="149" t="s">
        <v>226</v>
      </c>
      <c r="D95" s="150">
        <v>1410</v>
      </c>
      <c r="E95" s="150" t="s">
        <v>172</v>
      </c>
      <c r="F95" s="175">
        <v>65.16</v>
      </c>
      <c r="G95" s="241">
        <v>701.38223999999991</v>
      </c>
      <c r="H95" s="242">
        <v>771.52046399999995</v>
      </c>
      <c r="I95" s="244" t="s">
        <v>168</v>
      </c>
      <c r="J95" s="242" t="s">
        <v>168</v>
      </c>
      <c r="K95" s="242">
        <v>13536000</v>
      </c>
      <c r="L95" s="252">
        <v>7922283</v>
      </c>
      <c r="M95" s="251">
        <v>5613717</v>
      </c>
    </row>
    <row r="96" spans="1:13" ht="16.5" x14ac:dyDescent="0.3">
      <c r="A96" s="236">
        <v>94</v>
      </c>
      <c r="B96" s="236" t="s">
        <v>35</v>
      </c>
      <c r="C96" s="237" t="s">
        <v>227</v>
      </c>
      <c r="D96" s="238">
        <v>1503</v>
      </c>
      <c r="E96" s="238" t="s">
        <v>172</v>
      </c>
      <c r="F96" s="175">
        <v>62.04</v>
      </c>
      <c r="G96" s="239">
        <v>667.79855999999995</v>
      </c>
      <c r="H96" s="240">
        <v>734.57841600000006</v>
      </c>
      <c r="I96" s="243" t="s">
        <v>168</v>
      </c>
      <c r="J96" s="240" t="s">
        <v>168</v>
      </c>
      <c r="K96" s="240">
        <v>11158800</v>
      </c>
      <c r="L96" s="253">
        <v>8000000</v>
      </c>
      <c r="M96" s="250">
        <v>3158800</v>
      </c>
    </row>
    <row r="97" spans="1:13" ht="16.5" x14ac:dyDescent="0.3">
      <c r="A97" s="148">
        <v>95</v>
      </c>
      <c r="B97" s="148" t="s">
        <v>35</v>
      </c>
      <c r="C97" s="149" t="s">
        <v>227</v>
      </c>
      <c r="D97" s="150">
        <v>1505</v>
      </c>
      <c r="E97" s="150" t="s">
        <v>172</v>
      </c>
      <c r="F97" s="175">
        <v>66.23</v>
      </c>
      <c r="G97" s="241">
        <v>712.89972</v>
      </c>
      <c r="H97" s="242">
        <v>784.18969200000004</v>
      </c>
      <c r="I97" s="244" t="s">
        <v>168</v>
      </c>
      <c r="J97" s="242" t="s">
        <v>168</v>
      </c>
      <c r="K97" s="242">
        <v>13205000</v>
      </c>
      <c r="L97" s="252">
        <v>8024146</v>
      </c>
      <c r="M97" s="251">
        <v>5180854</v>
      </c>
    </row>
    <row r="98" spans="1:13" ht="16.5" x14ac:dyDescent="0.3">
      <c r="A98" s="236">
        <v>96</v>
      </c>
      <c r="B98" s="236" t="s">
        <v>35</v>
      </c>
      <c r="C98" s="237" t="s">
        <v>227</v>
      </c>
      <c r="D98" s="238">
        <v>1506</v>
      </c>
      <c r="E98" s="238" t="s">
        <v>172</v>
      </c>
      <c r="F98" s="175">
        <v>66.23</v>
      </c>
      <c r="G98" s="239">
        <v>712.89972</v>
      </c>
      <c r="H98" s="240">
        <v>784.18969200000004</v>
      </c>
      <c r="I98" s="243" t="s">
        <v>168</v>
      </c>
      <c r="J98" s="240" t="s">
        <v>168</v>
      </c>
      <c r="K98" s="240">
        <v>15510000</v>
      </c>
      <c r="L98" s="253">
        <v>8374900</v>
      </c>
      <c r="M98" s="250">
        <v>7135100</v>
      </c>
    </row>
    <row r="99" spans="1:13" ht="16.5" x14ac:dyDescent="0.3">
      <c r="A99" s="148">
        <v>97</v>
      </c>
      <c r="B99" s="148" t="s">
        <v>35</v>
      </c>
      <c r="C99" s="149" t="s">
        <v>227</v>
      </c>
      <c r="D99" s="150">
        <v>1509</v>
      </c>
      <c r="E99" s="150" t="s">
        <v>172</v>
      </c>
      <c r="F99" s="175">
        <v>65.16</v>
      </c>
      <c r="G99" s="241">
        <v>701.38223999999991</v>
      </c>
      <c r="H99" s="242">
        <v>771.52046399999995</v>
      </c>
      <c r="I99" s="244" t="s">
        <v>168</v>
      </c>
      <c r="J99" s="242" t="s">
        <v>168</v>
      </c>
      <c r="K99" s="242">
        <v>13888500</v>
      </c>
      <c r="L99" s="252">
        <v>8194215</v>
      </c>
      <c r="M99" s="251">
        <v>5694285</v>
      </c>
    </row>
    <row r="100" spans="1:13" ht="16.5" x14ac:dyDescent="0.3">
      <c r="A100" s="236">
        <v>98</v>
      </c>
      <c r="B100" s="236" t="s">
        <v>35</v>
      </c>
      <c r="C100" s="237" t="s">
        <v>227</v>
      </c>
      <c r="D100" s="238">
        <v>1510</v>
      </c>
      <c r="E100" s="238" t="s">
        <v>172</v>
      </c>
      <c r="F100" s="175">
        <v>65.16</v>
      </c>
      <c r="G100" s="239">
        <v>701.38223999999991</v>
      </c>
      <c r="H100" s="240">
        <v>771.52046399999995</v>
      </c>
      <c r="I100" s="243" t="s">
        <v>168</v>
      </c>
      <c r="J100" s="240" t="s">
        <v>168</v>
      </c>
      <c r="K100" s="240">
        <v>12302500</v>
      </c>
      <c r="L100" s="253">
        <v>7604524</v>
      </c>
      <c r="M100" s="250">
        <v>4697976</v>
      </c>
    </row>
    <row r="101" spans="1:13" ht="16.5" x14ac:dyDescent="0.3">
      <c r="A101" s="148">
        <v>99</v>
      </c>
      <c r="B101" s="167" t="s">
        <v>35</v>
      </c>
      <c r="C101" s="169" t="s">
        <v>228</v>
      </c>
      <c r="D101" s="168">
        <v>1602</v>
      </c>
      <c r="E101" s="168" t="s">
        <v>172</v>
      </c>
      <c r="F101" s="175">
        <v>62.04</v>
      </c>
      <c r="G101" s="159">
        <v>667.79855999999995</v>
      </c>
      <c r="H101" s="170">
        <v>734.57841600000006</v>
      </c>
      <c r="I101" s="248" t="s">
        <v>211</v>
      </c>
      <c r="J101" s="170" t="s">
        <v>168</v>
      </c>
      <c r="K101" s="170">
        <v>16048000</v>
      </c>
      <c r="L101" s="176">
        <v>9307840</v>
      </c>
      <c r="M101" s="251">
        <v>6740160</v>
      </c>
    </row>
    <row r="102" spans="1:13" ht="16.5" x14ac:dyDescent="0.3">
      <c r="A102" s="236">
        <v>100</v>
      </c>
      <c r="B102" s="236" t="s">
        <v>35</v>
      </c>
      <c r="C102" s="237" t="s">
        <v>228</v>
      </c>
      <c r="D102" s="238">
        <v>1603</v>
      </c>
      <c r="E102" s="238" t="s">
        <v>172</v>
      </c>
      <c r="F102" s="175">
        <v>62.04</v>
      </c>
      <c r="G102" s="239">
        <v>667.79855999999995</v>
      </c>
      <c r="H102" s="240">
        <v>734.57841600000006</v>
      </c>
      <c r="I102" s="243" t="s">
        <v>168</v>
      </c>
      <c r="J102" s="240" t="s">
        <v>168</v>
      </c>
      <c r="K102" s="240">
        <v>14313600</v>
      </c>
      <c r="L102" s="253">
        <v>10000000</v>
      </c>
      <c r="M102" s="250">
        <v>4313600</v>
      </c>
    </row>
    <row r="103" spans="1:13" ht="16.5" x14ac:dyDescent="0.3">
      <c r="A103" s="148">
        <v>101</v>
      </c>
      <c r="B103" s="148" t="s">
        <v>35</v>
      </c>
      <c r="C103" s="149" t="s">
        <v>228</v>
      </c>
      <c r="D103" s="150">
        <v>1605</v>
      </c>
      <c r="E103" s="150" t="s">
        <v>172</v>
      </c>
      <c r="F103" s="175">
        <v>66.23</v>
      </c>
      <c r="G103" s="241">
        <v>712.89972</v>
      </c>
      <c r="H103" s="242">
        <v>784.18969200000004</v>
      </c>
      <c r="I103" s="244" t="s">
        <v>168</v>
      </c>
      <c r="J103" s="242" t="s">
        <v>168</v>
      </c>
      <c r="K103" s="242">
        <v>15265765</v>
      </c>
      <c r="L103" s="252">
        <v>8883324</v>
      </c>
      <c r="M103" s="251">
        <v>6382441</v>
      </c>
    </row>
    <row r="104" spans="1:13" ht="16.5" x14ac:dyDescent="0.3">
      <c r="A104" s="236">
        <v>102</v>
      </c>
      <c r="B104" s="236" t="s">
        <v>35</v>
      </c>
      <c r="C104" s="237" t="s">
        <v>228</v>
      </c>
      <c r="D104" s="238">
        <v>1606</v>
      </c>
      <c r="E104" s="238" t="s">
        <v>172</v>
      </c>
      <c r="F104" s="175">
        <v>66.23</v>
      </c>
      <c r="G104" s="239">
        <v>712.89972</v>
      </c>
      <c r="H104" s="240">
        <v>784.18969200000004</v>
      </c>
      <c r="I104" s="243" t="s">
        <v>168</v>
      </c>
      <c r="J104" s="240" t="s">
        <v>168</v>
      </c>
      <c r="K104" s="240">
        <v>15265765</v>
      </c>
      <c r="L104" s="253">
        <v>8883924</v>
      </c>
      <c r="M104" s="250">
        <v>6381841</v>
      </c>
    </row>
    <row r="105" spans="1:13" ht="16.5" x14ac:dyDescent="0.3">
      <c r="A105" s="148">
        <v>103</v>
      </c>
      <c r="B105" s="148" t="s">
        <v>35</v>
      </c>
      <c r="C105" s="149" t="s">
        <v>228</v>
      </c>
      <c r="D105" s="150">
        <v>1607</v>
      </c>
      <c r="E105" s="150" t="s">
        <v>174</v>
      </c>
      <c r="F105" s="175">
        <v>88.58</v>
      </c>
      <c r="G105" s="241">
        <v>953.47511999999995</v>
      </c>
      <c r="H105" s="242">
        <v>1048.8226320000001</v>
      </c>
      <c r="I105" s="244" t="s">
        <v>168</v>
      </c>
      <c r="J105" s="242" t="s">
        <v>168</v>
      </c>
      <c r="K105" s="242">
        <v>14325000</v>
      </c>
      <c r="L105" s="252">
        <v>8451750</v>
      </c>
      <c r="M105" s="251">
        <v>5873250</v>
      </c>
    </row>
    <row r="106" spans="1:13" ht="16.5" x14ac:dyDescent="0.3">
      <c r="A106" s="236">
        <v>104</v>
      </c>
      <c r="B106" s="236" t="s">
        <v>35</v>
      </c>
      <c r="C106" s="237" t="s">
        <v>228</v>
      </c>
      <c r="D106" s="238">
        <v>1609</v>
      </c>
      <c r="E106" s="238" t="s">
        <v>172</v>
      </c>
      <c r="F106" s="175">
        <v>65.16</v>
      </c>
      <c r="G106" s="239">
        <v>701.38223999999991</v>
      </c>
      <c r="H106" s="240">
        <v>771.52046399999995</v>
      </c>
      <c r="I106" s="243" t="s">
        <v>168</v>
      </c>
      <c r="J106" s="240" t="s">
        <v>168</v>
      </c>
      <c r="K106" s="240">
        <v>13395000</v>
      </c>
      <c r="L106" s="253">
        <v>7769100</v>
      </c>
      <c r="M106" s="250">
        <v>5625900</v>
      </c>
    </row>
    <row r="107" spans="1:13" ht="16.5" x14ac:dyDescent="0.3">
      <c r="A107" s="148">
        <v>105</v>
      </c>
      <c r="B107" s="148" t="s">
        <v>35</v>
      </c>
      <c r="C107" s="149" t="s">
        <v>228</v>
      </c>
      <c r="D107" s="150">
        <v>1610</v>
      </c>
      <c r="E107" s="150" t="s">
        <v>172</v>
      </c>
      <c r="F107" s="175">
        <v>65.16</v>
      </c>
      <c r="G107" s="241">
        <v>701.38223999999991</v>
      </c>
      <c r="H107" s="242">
        <v>771.52046399999995</v>
      </c>
      <c r="I107" s="244" t="s">
        <v>168</v>
      </c>
      <c r="J107" s="242" t="s">
        <v>168</v>
      </c>
      <c r="K107" s="242">
        <v>13292000</v>
      </c>
      <c r="L107" s="252">
        <v>7842280</v>
      </c>
      <c r="M107" s="251">
        <v>5449720</v>
      </c>
    </row>
    <row r="108" spans="1:13" ht="16.5" x14ac:dyDescent="0.3">
      <c r="A108" s="236">
        <v>106</v>
      </c>
      <c r="B108" s="236" t="s">
        <v>35</v>
      </c>
      <c r="C108" s="237" t="s">
        <v>229</v>
      </c>
      <c r="D108" s="238">
        <v>1702</v>
      </c>
      <c r="E108" s="238" t="s">
        <v>172</v>
      </c>
      <c r="F108" s="175">
        <v>62.04</v>
      </c>
      <c r="G108" s="239">
        <v>667.79855999999995</v>
      </c>
      <c r="H108" s="240">
        <v>734.57841600000006</v>
      </c>
      <c r="I108" s="243" t="s">
        <v>168</v>
      </c>
      <c r="J108" s="240" t="s">
        <v>168</v>
      </c>
      <c r="K108" s="240">
        <v>15575000</v>
      </c>
      <c r="L108" s="253">
        <v>9033500</v>
      </c>
      <c r="M108" s="250">
        <v>6541500</v>
      </c>
    </row>
    <row r="109" spans="1:13" ht="16.5" x14ac:dyDescent="0.3">
      <c r="A109" s="148">
        <v>107</v>
      </c>
      <c r="B109" s="148" t="s">
        <v>35</v>
      </c>
      <c r="C109" s="149" t="s">
        <v>229</v>
      </c>
      <c r="D109" s="150">
        <v>1703</v>
      </c>
      <c r="E109" s="150" t="s">
        <v>172</v>
      </c>
      <c r="F109" s="247">
        <v>62.04</v>
      </c>
      <c r="G109" s="241">
        <v>667.79855999999995</v>
      </c>
      <c r="H109" s="242">
        <v>734.57841600000006</v>
      </c>
      <c r="I109" s="244" t="s">
        <v>167</v>
      </c>
      <c r="J109" s="242" t="s">
        <v>168</v>
      </c>
      <c r="K109" s="242">
        <v>17014700</v>
      </c>
      <c r="L109" s="252">
        <v>7834100</v>
      </c>
      <c r="M109" s="251">
        <v>9180600</v>
      </c>
    </row>
    <row r="110" spans="1:13" ht="16.5" x14ac:dyDescent="0.3">
      <c r="A110" s="236">
        <v>108</v>
      </c>
      <c r="B110" s="236" t="s">
        <v>35</v>
      </c>
      <c r="C110" s="237" t="s">
        <v>229</v>
      </c>
      <c r="D110" s="238">
        <v>1705</v>
      </c>
      <c r="E110" s="238" t="s">
        <v>172</v>
      </c>
      <c r="F110" s="246">
        <v>66.23</v>
      </c>
      <c r="G110" s="239">
        <v>712.89972</v>
      </c>
      <c r="H110" s="240">
        <v>784.18969200000004</v>
      </c>
      <c r="I110" s="243" t="s">
        <v>167</v>
      </c>
      <c r="J110" s="240" t="s">
        <v>168</v>
      </c>
      <c r="K110" s="240">
        <v>17448750</v>
      </c>
      <c r="L110" s="253">
        <v>9047969</v>
      </c>
      <c r="M110" s="250">
        <v>8400781</v>
      </c>
    </row>
    <row r="111" spans="1:13" ht="16.5" x14ac:dyDescent="0.3">
      <c r="A111" s="148">
        <v>109</v>
      </c>
      <c r="B111" s="148" t="s">
        <v>35</v>
      </c>
      <c r="C111" s="149" t="s">
        <v>229</v>
      </c>
      <c r="D111" s="150">
        <v>1706</v>
      </c>
      <c r="E111" s="150" t="s">
        <v>172</v>
      </c>
      <c r="F111" s="175">
        <v>66.23</v>
      </c>
      <c r="G111" s="241">
        <v>712.89972</v>
      </c>
      <c r="H111" s="242">
        <v>784.18969200000004</v>
      </c>
      <c r="I111" s="244" t="s">
        <v>168</v>
      </c>
      <c r="J111" s="242" t="s">
        <v>168</v>
      </c>
      <c r="K111" s="242">
        <v>16482195</v>
      </c>
      <c r="L111" s="252">
        <v>9627249</v>
      </c>
      <c r="M111" s="251">
        <v>6854946</v>
      </c>
    </row>
    <row r="112" spans="1:13" ht="16.5" x14ac:dyDescent="0.3">
      <c r="A112" s="236">
        <v>110</v>
      </c>
      <c r="B112" s="236" t="s">
        <v>35</v>
      </c>
      <c r="C112" s="237" t="s">
        <v>229</v>
      </c>
      <c r="D112" s="238">
        <v>1707</v>
      </c>
      <c r="E112" s="238" t="s">
        <v>174</v>
      </c>
      <c r="F112" s="246">
        <v>88.58</v>
      </c>
      <c r="G112" s="239">
        <v>953.47511999999995</v>
      </c>
      <c r="H112" s="240">
        <v>1048.8226320000001</v>
      </c>
      <c r="I112" s="243" t="s">
        <v>167</v>
      </c>
      <c r="J112" s="240" t="s">
        <v>168</v>
      </c>
      <c r="K112" s="240">
        <v>16617000</v>
      </c>
      <c r="L112" s="253">
        <v>7300000</v>
      </c>
      <c r="M112" s="250">
        <v>9317000</v>
      </c>
    </row>
    <row r="113" spans="1:13" ht="16.5" x14ac:dyDescent="0.3">
      <c r="A113" s="148">
        <v>111</v>
      </c>
      <c r="B113" s="148" t="s">
        <v>35</v>
      </c>
      <c r="C113" s="149" t="s">
        <v>229</v>
      </c>
      <c r="D113" s="150">
        <v>1708</v>
      </c>
      <c r="E113" s="150" t="s">
        <v>174</v>
      </c>
      <c r="F113" s="175">
        <v>88.58</v>
      </c>
      <c r="G113" s="241">
        <v>953.47511999999995</v>
      </c>
      <c r="H113" s="242">
        <v>1048.8226320000001</v>
      </c>
      <c r="I113" s="244" t="s">
        <v>168</v>
      </c>
      <c r="J113" s="242" t="s">
        <v>168</v>
      </c>
      <c r="K113" s="242">
        <v>19100000</v>
      </c>
      <c r="L113" s="252">
        <v>1773000</v>
      </c>
      <c r="M113" s="251">
        <v>17327000</v>
      </c>
    </row>
    <row r="114" spans="1:13" ht="16.5" x14ac:dyDescent="0.3">
      <c r="A114" s="236">
        <v>112</v>
      </c>
      <c r="B114" s="236" t="s">
        <v>35</v>
      </c>
      <c r="C114" s="237" t="s">
        <v>229</v>
      </c>
      <c r="D114" s="238">
        <v>1709</v>
      </c>
      <c r="E114" s="238" t="s">
        <v>172</v>
      </c>
      <c r="F114" s="175">
        <v>65.16</v>
      </c>
      <c r="G114" s="239">
        <v>701.38223999999991</v>
      </c>
      <c r="H114" s="240">
        <v>771.52046399999995</v>
      </c>
      <c r="I114" s="243" t="s">
        <v>168</v>
      </c>
      <c r="J114" s="240" t="s">
        <v>168</v>
      </c>
      <c r="K114" s="240">
        <v>10575000</v>
      </c>
      <c r="L114" s="253">
        <v>500000</v>
      </c>
      <c r="M114" s="250">
        <v>10075000</v>
      </c>
    </row>
    <row r="115" spans="1:13" ht="16.5" x14ac:dyDescent="0.3">
      <c r="A115" s="148">
        <v>113</v>
      </c>
      <c r="B115" s="148" t="s">
        <v>35</v>
      </c>
      <c r="C115" s="149" t="s">
        <v>229</v>
      </c>
      <c r="D115" s="150">
        <v>1710</v>
      </c>
      <c r="E115" s="150" t="s">
        <v>172</v>
      </c>
      <c r="F115" s="247">
        <v>65.16</v>
      </c>
      <c r="G115" s="241">
        <v>701.38223999999991</v>
      </c>
      <c r="H115" s="242">
        <v>771.52046399999995</v>
      </c>
      <c r="I115" s="244" t="s">
        <v>167</v>
      </c>
      <c r="J115" s="242" t="s">
        <v>168</v>
      </c>
      <c r="K115" s="242">
        <v>13500000</v>
      </c>
      <c r="L115" s="252">
        <v>300000</v>
      </c>
      <c r="M115" s="251">
        <v>13200000</v>
      </c>
    </row>
    <row r="116" spans="1:13" ht="16.5" x14ac:dyDescent="0.3">
      <c r="A116" s="236">
        <v>114</v>
      </c>
      <c r="B116" s="236" t="s">
        <v>35</v>
      </c>
      <c r="C116" s="237" t="s">
        <v>230</v>
      </c>
      <c r="D116" s="238">
        <v>1802</v>
      </c>
      <c r="E116" s="238" t="s">
        <v>172</v>
      </c>
      <c r="F116" s="175">
        <v>62.04</v>
      </c>
      <c r="G116" s="239">
        <v>667.79855999999995</v>
      </c>
      <c r="H116" s="240">
        <v>734.57841600000006</v>
      </c>
      <c r="I116" s="243" t="s">
        <v>168</v>
      </c>
      <c r="J116" s="240" t="s">
        <v>168</v>
      </c>
      <c r="K116" s="240">
        <v>11780000</v>
      </c>
      <c r="L116" s="253">
        <v>6842656</v>
      </c>
      <c r="M116" s="250">
        <v>4937344</v>
      </c>
    </row>
    <row r="117" spans="1:13" ht="16.5" x14ac:dyDescent="0.3">
      <c r="A117" s="148">
        <v>115</v>
      </c>
      <c r="B117" s="148" t="s">
        <v>35</v>
      </c>
      <c r="C117" s="149" t="s">
        <v>230</v>
      </c>
      <c r="D117" s="150">
        <v>1807</v>
      </c>
      <c r="E117" s="150" t="s">
        <v>174</v>
      </c>
      <c r="F117" s="175">
        <v>88.58</v>
      </c>
      <c r="G117" s="241">
        <v>953.47511999999995</v>
      </c>
      <c r="H117" s="242">
        <v>1048.8226320000001</v>
      </c>
      <c r="I117" s="244" t="s">
        <v>168</v>
      </c>
      <c r="J117" s="242" t="s">
        <v>168</v>
      </c>
      <c r="K117" s="242">
        <v>17667500</v>
      </c>
      <c r="L117" s="252">
        <v>10423885</v>
      </c>
      <c r="M117" s="251">
        <v>7243615</v>
      </c>
    </row>
    <row r="118" spans="1:13" ht="16.5" x14ac:dyDescent="0.3">
      <c r="A118" s="236">
        <v>116</v>
      </c>
      <c r="B118" s="236" t="s">
        <v>35</v>
      </c>
      <c r="C118" s="237" t="s">
        <v>230</v>
      </c>
      <c r="D118" s="238">
        <v>1808</v>
      </c>
      <c r="E118" s="238" t="s">
        <v>174</v>
      </c>
      <c r="F118" s="175">
        <v>88.58</v>
      </c>
      <c r="G118" s="239">
        <v>953.47511999999995</v>
      </c>
      <c r="H118" s="240">
        <v>1048.8226320000001</v>
      </c>
      <c r="I118" s="243" t="s">
        <v>168</v>
      </c>
      <c r="J118" s="240" t="s">
        <v>168</v>
      </c>
      <c r="K118" s="240">
        <v>17667500</v>
      </c>
      <c r="L118" s="253">
        <v>10423825</v>
      </c>
      <c r="M118" s="250">
        <v>7243675</v>
      </c>
    </row>
    <row r="119" spans="1:13" ht="16.5" x14ac:dyDescent="0.3">
      <c r="A119" s="148">
        <v>117</v>
      </c>
      <c r="B119" s="148" t="s">
        <v>35</v>
      </c>
      <c r="C119" s="149" t="s">
        <v>230</v>
      </c>
      <c r="D119" s="150">
        <v>1809</v>
      </c>
      <c r="E119" s="150" t="s">
        <v>172</v>
      </c>
      <c r="F119" s="247">
        <v>65.16</v>
      </c>
      <c r="G119" s="241">
        <v>701.38223999999991</v>
      </c>
      <c r="H119" s="242">
        <v>771.52046399999995</v>
      </c>
      <c r="I119" s="244" t="s">
        <v>167</v>
      </c>
      <c r="J119" s="242" t="s">
        <v>168</v>
      </c>
      <c r="K119" s="242">
        <v>14605000</v>
      </c>
      <c r="L119" s="252">
        <v>1168400</v>
      </c>
      <c r="M119" s="251">
        <v>13436600</v>
      </c>
    </row>
    <row r="120" spans="1:13" ht="16.5" x14ac:dyDescent="0.3">
      <c r="A120" s="236">
        <v>118</v>
      </c>
      <c r="B120" s="236" t="s">
        <v>35</v>
      </c>
      <c r="C120" s="237" t="s">
        <v>230</v>
      </c>
      <c r="D120" s="238">
        <v>1810</v>
      </c>
      <c r="E120" s="238" t="s">
        <v>172</v>
      </c>
      <c r="F120" s="175">
        <v>65.16</v>
      </c>
      <c r="G120" s="239">
        <v>701.38223999999991</v>
      </c>
      <c r="H120" s="240">
        <v>771.52046399999995</v>
      </c>
      <c r="I120" s="243" t="s">
        <v>168</v>
      </c>
      <c r="J120" s="240" t="s">
        <v>168</v>
      </c>
      <c r="K120" s="240">
        <v>16215000</v>
      </c>
      <c r="L120" s="253">
        <v>2747399</v>
      </c>
      <c r="M120" s="250">
        <v>13467601</v>
      </c>
    </row>
    <row r="121" spans="1:13" ht="16.5" x14ac:dyDescent="0.3">
      <c r="A121" s="148">
        <v>119</v>
      </c>
      <c r="B121" s="148" t="s">
        <v>35</v>
      </c>
      <c r="C121" s="149" t="s">
        <v>231</v>
      </c>
      <c r="D121" s="150">
        <v>1902</v>
      </c>
      <c r="E121" s="150" t="s">
        <v>172</v>
      </c>
      <c r="F121" s="175">
        <v>62.04</v>
      </c>
      <c r="G121" s="241">
        <v>667.79855999999995</v>
      </c>
      <c r="H121" s="242">
        <v>734.57841600000006</v>
      </c>
      <c r="I121" s="244" t="s">
        <v>168</v>
      </c>
      <c r="J121" s="242" t="s">
        <v>168</v>
      </c>
      <c r="K121" s="242">
        <v>10200000</v>
      </c>
      <c r="L121" s="252">
        <v>6092000</v>
      </c>
      <c r="M121" s="251">
        <v>4108000</v>
      </c>
    </row>
    <row r="122" spans="1:13" ht="16.5" x14ac:dyDescent="0.3">
      <c r="A122" s="236">
        <v>120</v>
      </c>
      <c r="B122" s="236" t="s">
        <v>35</v>
      </c>
      <c r="C122" s="237" t="s">
        <v>231</v>
      </c>
      <c r="D122" s="238">
        <v>1903</v>
      </c>
      <c r="E122" s="238" t="s">
        <v>172</v>
      </c>
      <c r="F122" s="175">
        <v>62.04</v>
      </c>
      <c r="G122" s="239">
        <v>667.79855999999995</v>
      </c>
      <c r="H122" s="240">
        <v>734.57841600000006</v>
      </c>
      <c r="I122" s="243" t="s">
        <v>168</v>
      </c>
      <c r="J122" s="240" t="s">
        <v>168</v>
      </c>
      <c r="K122" s="240">
        <v>12198571</v>
      </c>
      <c r="L122" s="253">
        <v>9309524</v>
      </c>
      <c r="M122" s="250">
        <v>2889047</v>
      </c>
    </row>
    <row r="123" spans="1:13" ht="16.5" x14ac:dyDescent="0.3">
      <c r="A123" s="148">
        <v>121</v>
      </c>
      <c r="B123" s="148" t="s">
        <v>35</v>
      </c>
      <c r="C123" s="149" t="s">
        <v>231</v>
      </c>
      <c r="D123" s="150">
        <v>1905</v>
      </c>
      <c r="E123" s="150" t="s">
        <v>172</v>
      </c>
      <c r="F123" s="247">
        <v>66.23</v>
      </c>
      <c r="G123" s="241">
        <v>712.89972</v>
      </c>
      <c r="H123" s="242">
        <v>784.18969200000004</v>
      </c>
      <c r="I123" s="244" t="s">
        <v>167</v>
      </c>
      <c r="J123" s="242" t="s">
        <v>168</v>
      </c>
      <c r="K123" s="242">
        <v>15404250</v>
      </c>
      <c r="L123" s="252">
        <v>700000</v>
      </c>
      <c r="M123" s="251">
        <v>14704250</v>
      </c>
    </row>
    <row r="124" spans="1:13" ht="16.5" x14ac:dyDescent="0.3">
      <c r="A124" s="236">
        <v>122</v>
      </c>
      <c r="B124" s="236" t="s">
        <v>35</v>
      </c>
      <c r="C124" s="237" t="s">
        <v>231</v>
      </c>
      <c r="D124" s="238">
        <v>1906</v>
      </c>
      <c r="E124" s="238" t="s">
        <v>172</v>
      </c>
      <c r="F124" s="175">
        <v>66.23</v>
      </c>
      <c r="G124" s="239">
        <v>712.89972</v>
      </c>
      <c r="H124" s="240">
        <v>784.18969200000004</v>
      </c>
      <c r="I124" s="243" t="s">
        <v>168</v>
      </c>
      <c r="J124" s="240" t="s">
        <v>168</v>
      </c>
      <c r="K124" s="240">
        <v>10575000</v>
      </c>
      <c r="L124" s="253">
        <v>3434500</v>
      </c>
      <c r="M124" s="250">
        <v>7140500</v>
      </c>
    </row>
    <row r="125" spans="1:13" ht="16.5" x14ac:dyDescent="0.3">
      <c r="A125" s="148">
        <v>123</v>
      </c>
      <c r="B125" s="148" t="s">
        <v>35</v>
      </c>
      <c r="C125" s="149" t="s">
        <v>231</v>
      </c>
      <c r="D125" s="150">
        <v>1907</v>
      </c>
      <c r="E125" s="150" t="s">
        <v>174</v>
      </c>
      <c r="F125" s="247">
        <v>88.58</v>
      </c>
      <c r="G125" s="241">
        <v>953.47511999999995</v>
      </c>
      <c r="H125" s="242">
        <v>1048.8226320000001</v>
      </c>
      <c r="I125" s="244" t="s">
        <v>167</v>
      </c>
      <c r="J125" s="242" t="s">
        <v>168</v>
      </c>
      <c r="K125" s="242">
        <v>13377000</v>
      </c>
      <c r="L125" s="252">
        <v>936250</v>
      </c>
      <c r="M125" s="251">
        <v>12440750</v>
      </c>
    </row>
    <row r="126" spans="1:13" ht="16.5" x14ac:dyDescent="0.3">
      <c r="A126" s="236">
        <v>124</v>
      </c>
      <c r="B126" s="236" t="s">
        <v>35</v>
      </c>
      <c r="C126" s="237" t="s">
        <v>231</v>
      </c>
      <c r="D126" s="238">
        <v>1908</v>
      </c>
      <c r="E126" s="238" t="s">
        <v>174</v>
      </c>
      <c r="F126" s="175">
        <v>88.58</v>
      </c>
      <c r="G126" s="239">
        <v>953.47511999999995</v>
      </c>
      <c r="H126" s="240">
        <v>1048.8226320000001</v>
      </c>
      <c r="I126" s="243" t="s">
        <v>168</v>
      </c>
      <c r="J126" s="240" t="s">
        <v>168</v>
      </c>
      <c r="K126" s="240">
        <v>14120000</v>
      </c>
      <c r="L126" s="253">
        <v>8235200</v>
      </c>
      <c r="M126" s="250">
        <v>5884800</v>
      </c>
    </row>
    <row r="127" spans="1:13" ht="16.5" x14ac:dyDescent="0.3">
      <c r="A127" s="148">
        <v>125</v>
      </c>
      <c r="B127" s="148" t="s">
        <v>35</v>
      </c>
      <c r="C127" s="149" t="s">
        <v>231</v>
      </c>
      <c r="D127" s="150">
        <v>1909</v>
      </c>
      <c r="E127" s="150" t="s">
        <v>172</v>
      </c>
      <c r="F127" s="175">
        <v>65.16</v>
      </c>
      <c r="G127" s="241">
        <v>701.38223999999991</v>
      </c>
      <c r="H127" s="242">
        <v>771.52046399999995</v>
      </c>
      <c r="I127" s="244" t="s">
        <v>168</v>
      </c>
      <c r="J127" s="242" t="s">
        <v>168</v>
      </c>
      <c r="K127" s="242">
        <v>10927500</v>
      </c>
      <c r="L127" s="252">
        <v>100000</v>
      </c>
      <c r="M127" s="251">
        <v>10827500</v>
      </c>
    </row>
    <row r="128" spans="1:13" ht="16.5" x14ac:dyDescent="0.3">
      <c r="A128" s="236">
        <v>126</v>
      </c>
      <c r="B128" s="236" t="s">
        <v>35</v>
      </c>
      <c r="C128" s="237" t="s">
        <v>231</v>
      </c>
      <c r="D128" s="238">
        <v>1910</v>
      </c>
      <c r="E128" s="238" t="s">
        <v>172</v>
      </c>
      <c r="F128" s="175">
        <v>65.16</v>
      </c>
      <c r="G128" s="239">
        <v>701.38223999999991</v>
      </c>
      <c r="H128" s="240">
        <v>771.52046399999995</v>
      </c>
      <c r="I128" s="243" t="s">
        <v>168</v>
      </c>
      <c r="J128" s="240" t="s">
        <v>168</v>
      </c>
      <c r="K128" s="240">
        <v>10927500</v>
      </c>
      <c r="L128" s="253">
        <v>100000</v>
      </c>
      <c r="M128" s="250">
        <v>10827500</v>
      </c>
    </row>
    <row r="129" spans="1:13" ht="16.5" x14ac:dyDescent="0.3">
      <c r="A129" s="148">
        <v>127</v>
      </c>
      <c r="B129" s="167" t="s">
        <v>35</v>
      </c>
      <c r="C129" s="169" t="s">
        <v>232</v>
      </c>
      <c r="D129" s="168">
        <v>2005</v>
      </c>
      <c r="E129" s="238" t="s">
        <v>172</v>
      </c>
      <c r="F129" s="175">
        <v>66.23</v>
      </c>
      <c r="G129" s="159">
        <f t="shared" ref="G129" si="4">IFERROR(F129*10.764,0)</f>
        <v>712.89972</v>
      </c>
      <c r="H129" s="170">
        <f>Table1[[#This Row],[RERA Carpet Area (Sq. Ft.)]]*1.1</f>
        <v>522.51685199999997</v>
      </c>
      <c r="I129" s="243" t="s">
        <v>168</v>
      </c>
      <c r="J129" s="170" t="s">
        <v>168</v>
      </c>
      <c r="K129" s="170">
        <v>16300000</v>
      </c>
      <c r="L129" s="176">
        <v>5117000</v>
      </c>
      <c r="M129" s="251">
        <v>11183000</v>
      </c>
    </row>
    <row r="130" spans="1:13" ht="16.5" x14ac:dyDescent="0.3">
      <c r="A130" s="236">
        <v>128</v>
      </c>
      <c r="B130" s="236" t="s">
        <v>35</v>
      </c>
      <c r="C130" s="237" t="s">
        <v>232</v>
      </c>
      <c r="D130" s="238">
        <v>2009</v>
      </c>
      <c r="E130" s="238" t="s">
        <v>172</v>
      </c>
      <c r="F130" s="175">
        <v>65.16</v>
      </c>
      <c r="G130" s="239">
        <v>701.38223999999991</v>
      </c>
      <c r="H130" s="240">
        <v>771.52046399999995</v>
      </c>
      <c r="I130" s="243" t="s">
        <v>168</v>
      </c>
      <c r="J130" s="240" t="s">
        <v>168</v>
      </c>
      <c r="K130" s="240">
        <v>10927500</v>
      </c>
      <c r="L130" s="253">
        <v>100000</v>
      </c>
      <c r="M130" s="250">
        <v>10827500</v>
      </c>
    </row>
    <row r="131" spans="1:13" ht="16.5" x14ac:dyDescent="0.3">
      <c r="A131" s="148">
        <v>129</v>
      </c>
      <c r="B131" s="148" t="s">
        <v>35</v>
      </c>
      <c r="C131" s="149" t="s">
        <v>232</v>
      </c>
      <c r="D131" s="150">
        <v>2010</v>
      </c>
      <c r="E131" s="150" t="s">
        <v>172</v>
      </c>
      <c r="F131" s="175">
        <v>65.16</v>
      </c>
      <c r="G131" s="241">
        <v>701.38223999999991</v>
      </c>
      <c r="H131" s="242">
        <v>771.52046399999995</v>
      </c>
      <c r="I131" s="244" t="s">
        <v>168</v>
      </c>
      <c r="J131" s="242" t="s">
        <v>168</v>
      </c>
      <c r="K131" s="242">
        <v>10927500</v>
      </c>
      <c r="L131" s="252">
        <v>200000</v>
      </c>
      <c r="M131" s="251">
        <v>10727500</v>
      </c>
    </row>
    <row r="132" spans="1:13" ht="16.5" x14ac:dyDescent="0.3">
      <c r="A132" s="264" t="s">
        <v>32</v>
      </c>
      <c r="B132" s="264"/>
      <c r="C132" s="264"/>
      <c r="D132" s="264"/>
      <c r="E132" s="264"/>
      <c r="F132" s="133">
        <f>SUM(F3:F131)</f>
        <v>8653.9599999999864</v>
      </c>
      <c r="G132" s="133">
        <f t="shared" ref="G132:M132" si="5">SUM(G3:G131)</f>
        <v>93151.225440000126</v>
      </c>
      <c r="H132" s="133">
        <f t="shared" si="5"/>
        <v>102204.67514400001</v>
      </c>
      <c r="I132" s="133"/>
      <c r="J132" s="133"/>
      <c r="K132" s="133">
        <f t="shared" si="5"/>
        <v>1808579878</v>
      </c>
      <c r="L132" s="133">
        <f t="shared" si="5"/>
        <v>738283534</v>
      </c>
      <c r="M132" s="133">
        <f t="shared" si="5"/>
        <v>1070296344</v>
      </c>
    </row>
  </sheetData>
  <mergeCells count="6">
    <mergeCell ref="A132:E132"/>
    <mergeCell ref="P42:T42"/>
    <mergeCell ref="AE27:AI27"/>
    <mergeCell ref="A1:M1"/>
    <mergeCell ref="P1:AB1"/>
    <mergeCell ref="AE1:AQ1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67820D-6CE9-47FC-8655-CAE8992333E7}">
  <sheetPr>
    <tabColor rgb="FF92D050"/>
  </sheetPr>
  <dimension ref="A1:M218"/>
  <sheetViews>
    <sheetView topLeftCell="A201" workbookViewId="0">
      <selection activeCell="M220" sqref="M220"/>
    </sheetView>
  </sheetViews>
  <sheetFormatPr defaultRowHeight="14.25" x14ac:dyDescent="0.2"/>
  <cols>
    <col min="1" max="1" width="3.25" customWidth="1"/>
    <col min="2" max="2" width="4.75" bestFit="1" customWidth="1"/>
    <col min="3" max="3" width="11.875" customWidth="1"/>
    <col min="5" max="5" width="5.75" bestFit="1" customWidth="1"/>
    <col min="6" max="7" width="11.25" customWidth="1"/>
    <col min="8" max="8" width="10" customWidth="1"/>
    <col min="9" max="9" width="14.5" customWidth="1"/>
    <col min="10" max="10" width="13.875" customWidth="1"/>
    <col min="11" max="11" width="16.875" customWidth="1"/>
    <col min="12" max="12" width="12.125" bestFit="1" customWidth="1"/>
    <col min="13" max="13" width="12.25" customWidth="1"/>
  </cols>
  <sheetData>
    <row r="1" spans="1:13" ht="52.5" customHeight="1" x14ac:dyDescent="0.2">
      <c r="A1" s="235" t="s">
        <v>33</v>
      </c>
      <c r="B1" s="235" t="s">
        <v>65</v>
      </c>
      <c r="C1" s="235" t="s">
        <v>62</v>
      </c>
      <c r="D1" s="235" t="s">
        <v>272</v>
      </c>
      <c r="E1" s="235" t="s">
        <v>233</v>
      </c>
      <c r="F1" s="235" t="s">
        <v>246</v>
      </c>
      <c r="G1" s="235" t="s">
        <v>160</v>
      </c>
      <c r="H1" s="235" t="s">
        <v>268</v>
      </c>
      <c r="I1" s="235" t="s">
        <v>234</v>
      </c>
      <c r="J1" s="235" t="s">
        <v>257</v>
      </c>
      <c r="K1" s="275" t="s">
        <v>258</v>
      </c>
      <c r="L1" s="275" t="s">
        <v>259</v>
      </c>
      <c r="M1" s="275" t="s">
        <v>161</v>
      </c>
    </row>
    <row r="2" spans="1:13" ht="16.5" x14ac:dyDescent="0.3">
      <c r="A2" s="236">
        <v>1</v>
      </c>
      <c r="B2" s="236" t="s">
        <v>34</v>
      </c>
      <c r="C2" s="237" t="s">
        <v>213</v>
      </c>
      <c r="D2" s="238">
        <v>105</v>
      </c>
      <c r="E2" s="238" t="s">
        <v>251</v>
      </c>
      <c r="F2" s="239">
        <v>44.07</v>
      </c>
      <c r="G2" s="239">
        <v>474.36947999999995</v>
      </c>
      <c r="H2" s="240">
        <v>521.80642799999998</v>
      </c>
      <c r="I2" s="238" t="s">
        <v>211</v>
      </c>
      <c r="J2" s="240" t="s">
        <v>265</v>
      </c>
      <c r="K2" s="283">
        <v>2374550</v>
      </c>
      <c r="L2" s="250">
        <v>1780913</v>
      </c>
      <c r="M2" s="250">
        <v>593637</v>
      </c>
    </row>
    <row r="3" spans="1:13" ht="16.5" x14ac:dyDescent="0.3">
      <c r="A3" s="148">
        <v>2</v>
      </c>
      <c r="B3" s="148" t="s">
        <v>34</v>
      </c>
      <c r="C3" s="149" t="s">
        <v>213</v>
      </c>
      <c r="D3" s="150">
        <v>106</v>
      </c>
      <c r="E3" s="150" t="s">
        <v>251</v>
      </c>
      <c r="F3" s="241">
        <v>44.13</v>
      </c>
      <c r="G3" s="241">
        <v>475.01531999999997</v>
      </c>
      <c r="H3" s="242">
        <v>522.51685199999997</v>
      </c>
      <c r="I3" s="150" t="s">
        <v>211</v>
      </c>
      <c r="J3" s="242" t="s">
        <v>266</v>
      </c>
      <c r="K3" s="285">
        <v>0</v>
      </c>
      <c r="L3" s="251">
        <v>0</v>
      </c>
      <c r="M3" s="251">
        <v>0</v>
      </c>
    </row>
    <row r="4" spans="1:13" ht="16.5" x14ac:dyDescent="0.3">
      <c r="A4" s="236">
        <v>3</v>
      </c>
      <c r="B4" s="236" t="s">
        <v>34</v>
      </c>
      <c r="C4" s="237" t="s">
        <v>213</v>
      </c>
      <c r="D4" s="238">
        <v>107</v>
      </c>
      <c r="E4" s="238" t="s">
        <v>253</v>
      </c>
      <c r="F4" s="239">
        <v>33.01</v>
      </c>
      <c r="G4" s="239">
        <v>355.31963999999994</v>
      </c>
      <c r="H4" s="240">
        <v>390.85160399999995</v>
      </c>
      <c r="I4" s="238" t="s">
        <v>211</v>
      </c>
      <c r="J4" s="240" t="s">
        <v>266</v>
      </c>
      <c r="K4" s="283">
        <v>0</v>
      </c>
      <c r="L4" s="250">
        <v>0</v>
      </c>
      <c r="M4" s="250">
        <v>0</v>
      </c>
    </row>
    <row r="5" spans="1:13" ht="16.5" x14ac:dyDescent="0.3">
      <c r="A5" s="148">
        <v>4</v>
      </c>
      <c r="B5" s="148" t="s">
        <v>34</v>
      </c>
      <c r="C5" s="149" t="s">
        <v>213</v>
      </c>
      <c r="D5" s="150">
        <v>108</v>
      </c>
      <c r="E5" s="150" t="s">
        <v>251</v>
      </c>
      <c r="F5" s="241">
        <v>50.84</v>
      </c>
      <c r="G5" s="241">
        <v>547.24176</v>
      </c>
      <c r="H5" s="242">
        <v>601.96593600000006</v>
      </c>
      <c r="I5" s="150" t="s">
        <v>211</v>
      </c>
      <c r="J5" s="242" t="s">
        <v>265</v>
      </c>
      <c r="K5" s="285">
        <v>3980550</v>
      </c>
      <c r="L5" s="251">
        <v>1194165</v>
      </c>
      <c r="M5" s="251">
        <v>2786385</v>
      </c>
    </row>
    <row r="6" spans="1:13" ht="16.5" x14ac:dyDescent="0.3">
      <c r="A6" s="236">
        <v>5</v>
      </c>
      <c r="B6" s="236" t="s">
        <v>34</v>
      </c>
      <c r="C6" s="237" t="s">
        <v>213</v>
      </c>
      <c r="D6" s="238">
        <v>109</v>
      </c>
      <c r="E6" s="238" t="s">
        <v>253</v>
      </c>
      <c r="F6" s="239">
        <v>32.799999999999997</v>
      </c>
      <c r="G6" s="239">
        <v>353.05919999999998</v>
      </c>
      <c r="H6" s="240">
        <v>388.36511999999999</v>
      </c>
      <c r="I6" s="238" t="s">
        <v>211</v>
      </c>
      <c r="J6" s="240" t="s">
        <v>266</v>
      </c>
      <c r="K6" s="283"/>
      <c r="L6" s="250"/>
      <c r="M6" s="250">
        <v>0</v>
      </c>
    </row>
    <row r="7" spans="1:13" ht="16.5" x14ac:dyDescent="0.3">
      <c r="A7" s="148">
        <v>6</v>
      </c>
      <c r="B7" s="148" t="s">
        <v>34</v>
      </c>
      <c r="C7" s="149" t="s">
        <v>213</v>
      </c>
      <c r="D7" s="150">
        <v>110</v>
      </c>
      <c r="E7" s="150" t="s">
        <v>253</v>
      </c>
      <c r="F7" s="241">
        <v>33.01</v>
      </c>
      <c r="G7" s="241">
        <v>355.31963999999994</v>
      </c>
      <c r="H7" s="242">
        <v>390.85160399999995</v>
      </c>
      <c r="I7" s="150" t="s">
        <v>211</v>
      </c>
      <c r="J7" s="242" t="s">
        <v>266</v>
      </c>
      <c r="K7" s="285"/>
      <c r="L7" s="251"/>
      <c r="M7" s="251">
        <v>0</v>
      </c>
    </row>
    <row r="8" spans="1:13" ht="16.5" x14ac:dyDescent="0.3">
      <c r="A8" s="236">
        <v>7</v>
      </c>
      <c r="B8" s="236" t="s">
        <v>34</v>
      </c>
      <c r="C8" s="237" t="s">
        <v>214</v>
      </c>
      <c r="D8" s="238">
        <v>201</v>
      </c>
      <c r="E8" s="238" t="s">
        <v>251</v>
      </c>
      <c r="F8" s="239">
        <v>44.07</v>
      </c>
      <c r="G8" s="239">
        <v>474.36947999999995</v>
      </c>
      <c r="H8" s="240">
        <v>521.80642799999998</v>
      </c>
      <c r="I8" s="238" t="s">
        <v>211</v>
      </c>
      <c r="J8" s="240" t="s">
        <v>266</v>
      </c>
      <c r="K8" s="283"/>
      <c r="L8" s="250"/>
      <c r="M8" s="250">
        <v>0</v>
      </c>
    </row>
    <row r="9" spans="1:13" ht="16.5" x14ac:dyDescent="0.3">
      <c r="A9" s="148">
        <v>8</v>
      </c>
      <c r="B9" s="148" t="s">
        <v>34</v>
      </c>
      <c r="C9" s="149" t="s">
        <v>214</v>
      </c>
      <c r="D9" s="150">
        <v>202</v>
      </c>
      <c r="E9" s="150" t="s">
        <v>251</v>
      </c>
      <c r="F9" s="241">
        <v>44.07</v>
      </c>
      <c r="G9" s="241">
        <v>474.36947999999995</v>
      </c>
      <c r="H9" s="242">
        <v>521.80642799999998</v>
      </c>
      <c r="I9" s="150" t="s">
        <v>211</v>
      </c>
      <c r="J9" s="242" t="s">
        <v>266</v>
      </c>
      <c r="K9" s="285"/>
      <c r="L9" s="251"/>
      <c r="M9" s="251">
        <v>0</v>
      </c>
    </row>
    <row r="10" spans="1:13" ht="16.5" x14ac:dyDescent="0.3">
      <c r="A10" s="236">
        <v>9</v>
      </c>
      <c r="B10" s="236" t="s">
        <v>34</v>
      </c>
      <c r="C10" s="237" t="s">
        <v>214</v>
      </c>
      <c r="D10" s="238">
        <v>204</v>
      </c>
      <c r="E10" s="238" t="s">
        <v>254</v>
      </c>
      <c r="F10" s="239">
        <v>66.650000000000006</v>
      </c>
      <c r="G10" s="239">
        <v>717.42060000000004</v>
      </c>
      <c r="H10" s="240">
        <v>789.16266000000007</v>
      </c>
      <c r="I10" s="238" t="s">
        <v>211</v>
      </c>
      <c r="J10" s="240" t="s">
        <v>265</v>
      </c>
      <c r="K10" s="267">
        <v>185925</v>
      </c>
      <c r="L10" s="286">
        <v>185925</v>
      </c>
      <c r="M10" s="250">
        <v>0</v>
      </c>
    </row>
    <row r="11" spans="1:13" ht="16.5" x14ac:dyDescent="0.3">
      <c r="A11" s="148">
        <v>10</v>
      </c>
      <c r="B11" s="148" t="s">
        <v>34</v>
      </c>
      <c r="C11" s="149" t="s">
        <v>214</v>
      </c>
      <c r="D11" s="150">
        <v>205</v>
      </c>
      <c r="E11" s="150" t="s">
        <v>251</v>
      </c>
      <c r="F11" s="241">
        <v>44.07</v>
      </c>
      <c r="G11" s="241">
        <v>474.36947999999995</v>
      </c>
      <c r="H11" s="242">
        <v>521.80642799999998</v>
      </c>
      <c r="I11" s="150" t="s">
        <v>211</v>
      </c>
      <c r="J11" s="242" t="s">
        <v>266</v>
      </c>
      <c r="K11" s="285"/>
      <c r="L11" s="251"/>
      <c r="M11" s="251">
        <v>0</v>
      </c>
    </row>
    <row r="12" spans="1:13" ht="16.5" x14ac:dyDescent="0.3">
      <c r="A12" s="236">
        <v>11</v>
      </c>
      <c r="B12" s="236" t="s">
        <v>34</v>
      </c>
      <c r="C12" s="237" t="s">
        <v>214</v>
      </c>
      <c r="D12" s="238">
        <v>206</v>
      </c>
      <c r="E12" s="238" t="s">
        <v>251</v>
      </c>
      <c r="F12" s="239">
        <v>44.07</v>
      </c>
      <c r="G12" s="239">
        <v>474.36947999999995</v>
      </c>
      <c r="H12" s="240">
        <v>521.80642799999998</v>
      </c>
      <c r="I12" s="238" t="s">
        <v>211</v>
      </c>
      <c r="J12" s="240" t="s">
        <v>266</v>
      </c>
      <c r="K12" s="283"/>
      <c r="L12" s="250"/>
      <c r="M12" s="250">
        <v>0</v>
      </c>
    </row>
    <row r="13" spans="1:13" ht="16.5" x14ac:dyDescent="0.3">
      <c r="A13" s="148">
        <v>12</v>
      </c>
      <c r="B13" s="148" t="s">
        <v>34</v>
      </c>
      <c r="C13" s="149" t="s">
        <v>214</v>
      </c>
      <c r="D13" s="150">
        <v>207</v>
      </c>
      <c r="E13" s="150" t="s">
        <v>253</v>
      </c>
      <c r="F13" s="241">
        <v>33.01</v>
      </c>
      <c r="G13" s="241">
        <v>355.31963999999994</v>
      </c>
      <c r="H13" s="242">
        <v>390.85160399999995</v>
      </c>
      <c r="I13" s="150" t="s">
        <v>211</v>
      </c>
      <c r="J13" s="242" t="s">
        <v>266</v>
      </c>
      <c r="K13" s="285"/>
      <c r="L13" s="251"/>
      <c r="M13" s="251">
        <v>0</v>
      </c>
    </row>
    <row r="14" spans="1:13" ht="16.5" x14ac:dyDescent="0.3">
      <c r="A14" s="236">
        <v>13</v>
      </c>
      <c r="B14" s="236" t="s">
        <v>34</v>
      </c>
      <c r="C14" s="237" t="s">
        <v>214</v>
      </c>
      <c r="D14" s="238">
        <v>208</v>
      </c>
      <c r="E14" s="238" t="s">
        <v>251</v>
      </c>
      <c r="F14" s="239">
        <v>50.84</v>
      </c>
      <c r="G14" s="239">
        <v>547.24176</v>
      </c>
      <c r="H14" s="240">
        <v>601.96593600000006</v>
      </c>
      <c r="I14" s="238" t="s">
        <v>211</v>
      </c>
      <c r="J14" s="240" t="s">
        <v>265</v>
      </c>
      <c r="K14" s="267">
        <v>3823323</v>
      </c>
      <c r="L14" s="286">
        <v>2867492</v>
      </c>
      <c r="M14" s="250">
        <v>955831</v>
      </c>
    </row>
    <row r="15" spans="1:13" ht="16.5" x14ac:dyDescent="0.3">
      <c r="A15" s="148">
        <v>14</v>
      </c>
      <c r="B15" s="148" t="s">
        <v>34</v>
      </c>
      <c r="C15" s="149" t="s">
        <v>214</v>
      </c>
      <c r="D15" s="150">
        <v>209</v>
      </c>
      <c r="E15" s="150" t="s">
        <v>253</v>
      </c>
      <c r="F15" s="241">
        <v>32.799999999999997</v>
      </c>
      <c r="G15" s="241">
        <v>353.05919999999998</v>
      </c>
      <c r="H15" s="242">
        <v>388.36511999999999</v>
      </c>
      <c r="I15" s="150" t="s">
        <v>211</v>
      </c>
      <c r="J15" s="242" t="s">
        <v>266</v>
      </c>
      <c r="K15" s="285"/>
      <c r="L15" s="251"/>
      <c r="M15" s="251">
        <v>0</v>
      </c>
    </row>
    <row r="16" spans="1:13" ht="16.5" x14ac:dyDescent="0.3">
      <c r="A16" s="236">
        <v>15</v>
      </c>
      <c r="B16" s="236" t="s">
        <v>34</v>
      </c>
      <c r="C16" s="237" t="s">
        <v>214</v>
      </c>
      <c r="D16" s="238">
        <v>210</v>
      </c>
      <c r="E16" s="238" t="s">
        <v>253</v>
      </c>
      <c r="F16" s="239">
        <v>33.01</v>
      </c>
      <c r="G16" s="239">
        <v>355.31963999999994</v>
      </c>
      <c r="H16" s="240">
        <v>390.85160399999995</v>
      </c>
      <c r="I16" s="238" t="s">
        <v>211</v>
      </c>
      <c r="J16" s="240" t="s">
        <v>266</v>
      </c>
      <c r="K16" s="283"/>
      <c r="L16" s="250"/>
      <c r="M16" s="250">
        <v>0</v>
      </c>
    </row>
    <row r="17" spans="1:13" ht="16.5" x14ac:dyDescent="0.3">
      <c r="A17" s="148">
        <v>16</v>
      </c>
      <c r="B17" s="148" t="s">
        <v>34</v>
      </c>
      <c r="C17" s="149" t="s">
        <v>215</v>
      </c>
      <c r="D17" s="150">
        <v>301</v>
      </c>
      <c r="E17" s="150" t="s">
        <v>251</v>
      </c>
      <c r="F17" s="241">
        <v>43.85</v>
      </c>
      <c r="G17" s="241">
        <v>472.00139999999999</v>
      </c>
      <c r="H17" s="242"/>
      <c r="I17" s="238" t="s">
        <v>211</v>
      </c>
      <c r="J17" s="242" t="s">
        <v>266</v>
      </c>
      <c r="K17" s="285"/>
      <c r="L17" s="251"/>
      <c r="M17" s="251">
        <v>0</v>
      </c>
    </row>
    <row r="18" spans="1:13" ht="16.5" x14ac:dyDescent="0.3">
      <c r="A18" s="236">
        <v>17</v>
      </c>
      <c r="B18" s="236" t="s">
        <v>34</v>
      </c>
      <c r="C18" s="237" t="s">
        <v>215</v>
      </c>
      <c r="D18" s="238">
        <v>302</v>
      </c>
      <c r="E18" s="238" t="s">
        <v>251</v>
      </c>
      <c r="F18" s="239">
        <v>44.07</v>
      </c>
      <c r="G18" s="239">
        <v>474.36947999999995</v>
      </c>
      <c r="H18" s="240">
        <v>521.80642799999998</v>
      </c>
      <c r="I18" s="238" t="s">
        <v>211</v>
      </c>
      <c r="J18" s="240" t="s">
        <v>266</v>
      </c>
      <c r="K18" s="283"/>
      <c r="L18" s="250"/>
      <c r="M18" s="250">
        <v>0</v>
      </c>
    </row>
    <row r="19" spans="1:13" ht="16.5" x14ac:dyDescent="0.3">
      <c r="A19" s="148">
        <v>18</v>
      </c>
      <c r="B19" s="148" t="s">
        <v>34</v>
      </c>
      <c r="C19" s="149" t="s">
        <v>215</v>
      </c>
      <c r="D19" s="150">
        <v>303</v>
      </c>
      <c r="E19" s="150" t="s">
        <v>251</v>
      </c>
      <c r="F19" s="241">
        <v>44.07</v>
      </c>
      <c r="G19" s="241">
        <v>474.36947999999995</v>
      </c>
      <c r="H19" s="242">
        <v>521.80642799999998</v>
      </c>
      <c r="I19" s="150" t="s">
        <v>211</v>
      </c>
      <c r="J19" s="242" t="s">
        <v>265</v>
      </c>
      <c r="K19" s="267">
        <v>4733650</v>
      </c>
      <c r="L19" s="287">
        <v>2920095</v>
      </c>
      <c r="M19" s="251">
        <v>1813555</v>
      </c>
    </row>
    <row r="20" spans="1:13" ht="16.5" x14ac:dyDescent="0.3">
      <c r="A20" s="236">
        <v>19</v>
      </c>
      <c r="B20" s="236" t="s">
        <v>34</v>
      </c>
      <c r="C20" s="237" t="s">
        <v>215</v>
      </c>
      <c r="D20" s="238">
        <v>305</v>
      </c>
      <c r="E20" s="238" t="s">
        <v>254</v>
      </c>
      <c r="F20" s="239">
        <v>66.650000000000006</v>
      </c>
      <c r="G20" s="239">
        <v>717.42060000000004</v>
      </c>
      <c r="H20" s="240">
        <v>789.16266000000007</v>
      </c>
      <c r="I20" s="238" t="s">
        <v>211</v>
      </c>
      <c r="J20" s="240" t="s">
        <v>266</v>
      </c>
      <c r="K20" s="283"/>
      <c r="L20" s="250"/>
      <c r="M20" s="250">
        <v>0</v>
      </c>
    </row>
    <row r="21" spans="1:13" ht="16.5" x14ac:dyDescent="0.3">
      <c r="A21" s="148">
        <v>20</v>
      </c>
      <c r="B21" s="148" t="s">
        <v>34</v>
      </c>
      <c r="C21" s="149" t="s">
        <v>215</v>
      </c>
      <c r="D21" s="150">
        <v>306</v>
      </c>
      <c r="E21" s="150" t="s">
        <v>251</v>
      </c>
      <c r="F21" s="241">
        <v>44.07</v>
      </c>
      <c r="G21" s="241">
        <v>474.36947999999995</v>
      </c>
      <c r="H21" s="242">
        <v>521.80642799999998</v>
      </c>
      <c r="I21" s="150" t="s">
        <v>211</v>
      </c>
      <c r="J21" s="242" t="s">
        <v>265</v>
      </c>
      <c r="K21" s="267">
        <v>2146000</v>
      </c>
      <c r="L21" s="287">
        <v>1073000</v>
      </c>
      <c r="M21" s="251">
        <v>1073000</v>
      </c>
    </row>
    <row r="22" spans="1:13" ht="16.5" x14ac:dyDescent="0.3">
      <c r="A22" s="236">
        <v>21</v>
      </c>
      <c r="B22" s="236" t="s">
        <v>34</v>
      </c>
      <c r="C22" s="237" t="s">
        <v>215</v>
      </c>
      <c r="D22" s="238">
        <v>307</v>
      </c>
      <c r="E22" s="238" t="s">
        <v>251</v>
      </c>
      <c r="F22" s="239">
        <v>44.07</v>
      </c>
      <c r="G22" s="239">
        <v>474.36947999999995</v>
      </c>
      <c r="H22" s="240">
        <v>521.80642799999998</v>
      </c>
      <c r="I22" s="238" t="s">
        <v>211</v>
      </c>
      <c r="J22" s="240" t="s">
        <v>266</v>
      </c>
      <c r="K22" s="283"/>
      <c r="L22" s="250"/>
      <c r="M22" s="250">
        <v>0</v>
      </c>
    </row>
    <row r="23" spans="1:13" ht="16.5" x14ac:dyDescent="0.3">
      <c r="A23" s="148">
        <v>22</v>
      </c>
      <c r="B23" s="148" t="s">
        <v>34</v>
      </c>
      <c r="C23" s="149" t="s">
        <v>215</v>
      </c>
      <c r="D23" s="150">
        <v>308</v>
      </c>
      <c r="E23" s="150" t="s">
        <v>253</v>
      </c>
      <c r="F23" s="241">
        <v>33.01</v>
      </c>
      <c r="G23" s="241">
        <v>355.31963999999994</v>
      </c>
      <c r="H23" s="242">
        <v>390.85160399999995</v>
      </c>
      <c r="I23" s="150" t="s">
        <v>211</v>
      </c>
      <c r="J23" s="242" t="s">
        <v>265</v>
      </c>
      <c r="K23" s="267">
        <v>1411650</v>
      </c>
      <c r="L23" s="287">
        <v>641295</v>
      </c>
      <c r="M23" s="251">
        <v>770355</v>
      </c>
    </row>
    <row r="24" spans="1:13" ht="16.5" x14ac:dyDescent="0.3">
      <c r="A24" s="236">
        <v>23</v>
      </c>
      <c r="B24" s="236" t="s">
        <v>34</v>
      </c>
      <c r="C24" s="237" t="s">
        <v>215</v>
      </c>
      <c r="D24" s="238">
        <v>309</v>
      </c>
      <c r="E24" s="238" t="s">
        <v>251</v>
      </c>
      <c r="F24" s="239">
        <v>50.84</v>
      </c>
      <c r="G24" s="239">
        <v>547.24176</v>
      </c>
      <c r="H24" s="240">
        <v>601.96593600000006</v>
      </c>
      <c r="I24" s="238" t="s">
        <v>211</v>
      </c>
      <c r="J24" s="240" t="s">
        <v>266</v>
      </c>
      <c r="K24" s="283"/>
      <c r="L24" s="250"/>
      <c r="M24" s="250">
        <v>0</v>
      </c>
    </row>
    <row r="25" spans="1:13" ht="16.5" x14ac:dyDescent="0.3">
      <c r="A25" s="148">
        <v>24</v>
      </c>
      <c r="B25" s="148" t="s">
        <v>34</v>
      </c>
      <c r="C25" s="149" t="s">
        <v>215</v>
      </c>
      <c r="D25" s="150">
        <v>310</v>
      </c>
      <c r="E25" s="150" t="s">
        <v>253</v>
      </c>
      <c r="F25" s="241">
        <v>32.799999999999997</v>
      </c>
      <c r="G25" s="241">
        <v>353.05919999999998</v>
      </c>
      <c r="H25" s="242">
        <v>388.36511999999999</v>
      </c>
      <c r="I25" s="150" t="s">
        <v>211</v>
      </c>
      <c r="J25" s="242" t="s">
        <v>266</v>
      </c>
      <c r="K25" s="285"/>
      <c r="L25" s="251"/>
      <c r="M25" s="251">
        <v>0</v>
      </c>
    </row>
    <row r="26" spans="1:13" ht="16.5" x14ac:dyDescent="0.3">
      <c r="A26" s="236">
        <v>25</v>
      </c>
      <c r="B26" s="236" t="s">
        <v>34</v>
      </c>
      <c r="C26" s="237" t="s">
        <v>216</v>
      </c>
      <c r="D26" s="238">
        <v>401</v>
      </c>
      <c r="E26" s="238" t="s">
        <v>251</v>
      </c>
      <c r="F26" s="239">
        <v>44.07</v>
      </c>
      <c r="G26" s="239">
        <v>474.36947999999995</v>
      </c>
      <c r="H26" s="240">
        <v>521.80642799999998</v>
      </c>
      <c r="I26" s="238" t="s">
        <v>211</v>
      </c>
      <c r="J26" s="240" t="s">
        <v>266</v>
      </c>
      <c r="K26" s="283"/>
      <c r="L26" s="250"/>
      <c r="M26" s="250">
        <v>0</v>
      </c>
    </row>
    <row r="27" spans="1:13" ht="16.5" x14ac:dyDescent="0.3">
      <c r="A27" s="148">
        <v>26</v>
      </c>
      <c r="B27" s="148" t="s">
        <v>34</v>
      </c>
      <c r="C27" s="149" t="s">
        <v>216</v>
      </c>
      <c r="D27" s="150">
        <v>402</v>
      </c>
      <c r="E27" s="150" t="s">
        <v>251</v>
      </c>
      <c r="F27" s="241">
        <v>44.07</v>
      </c>
      <c r="G27" s="241">
        <v>474.36947999999995</v>
      </c>
      <c r="H27" s="242">
        <v>521.80642799999998</v>
      </c>
      <c r="I27" s="150" t="s">
        <v>211</v>
      </c>
      <c r="J27" s="242" t="s">
        <v>266</v>
      </c>
      <c r="K27" s="285"/>
      <c r="L27" s="251"/>
      <c r="M27" s="251">
        <v>0</v>
      </c>
    </row>
    <row r="28" spans="1:13" ht="16.5" x14ac:dyDescent="0.3">
      <c r="A28" s="236">
        <v>27</v>
      </c>
      <c r="B28" s="236" t="s">
        <v>34</v>
      </c>
      <c r="C28" s="237" t="s">
        <v>216</v>
      </c>
      <c r="D28" s="238">
        <v>405</v>
      </c>
      <c r="E28" s="238" t="s">
        <v>251</v>
      </c>
      <c r="F28" s="239">
        <v>44.07</v>
      </c>
      <c r="G28" s="239">
        <v>474.36947999999995</v>
      </c>
      <c r="H28" s="240">
        <v>521.80642799999998</v>
      </c>
      <c r="I28" s="238" t="s">
        <v>211</v>
      </c>
      <c r="J28" s="240" t="s">
        <v>266</v>
      </c>
      <c r="K28" s="283"/>
      <c r="L28" s="250"/>
      <c r="M28" s="250">
        <v>0</v>
      </c>
    </row>
    <row r="29" spans="1:13" ht="16.5" x14ac:dyDescent="0.3">
      <c r="A29" s="148">
        <v>28</v>
      </c>
      <c r="B29" s="148" t="s">
        <v>34</v>
      </c>
      <c r="C29" s="149" t="s">
        <v>216</v>
      </c>
      <c r="D29" s="150">
        <v>406</v>
      </c>
      <c r="E29" s="150" t="s">
        <v>251</v>
      </c>
      <c r="F29" s="241">
        <v>44.13</v>
      </c>
      <c r="G29" s="241">
        <v>475.01531999999997</v>
      </c>
      <c r="H29" s="242">
        <v>522.51685199999997</v>
      </c>
      <c r="I29" s="150" t="s">
        <v>211</v>
      </c>
      <c r="J29" s="242" t="s">
        <v>266</v>
      </c>
      <c r="K29" s="285"/>
      <c r="L29" s="251"/>
      <c r="M29" s="251">
        <v>0</v>
      </c>
    </row>
    <row r="30" spans="1:13" ht="16.5" x14ac:dyDescent="0.3">
      <c r="A30" s="236">
        <v>29</v>
      </c>
      <c r="B30" s="236" t="s">
        <v>34</v>
      </c>
      <c r="C30" s="237" t="s">
        <v>216</v>
      </c>
      <c r="D30" s="238">
        <v>407</v>
      </c>
      <c r="E30" s="238" t="s">
        <v>253</v>
      </c>
      <c r="F30" s="239">
        <v>33.01</v>
      </c>
      <c r="G30" s="239">
        <v>355.31963999999994</v>
      </c>
      <c r="H30" s="240">
        <v>390.85160399999995</v>
      </c>
      <c r="I30" s="238" t="s">
        <v>211</v>
      </c>
      <c r="J30" s="240" t="s">
        <v>266</v>
      </c>
      <c r="K30" s="283"/>
      <c r="L30" s="250"/>
      <c r="M30" s="250">
        <v>0</v>
      </c>
    </row>
    <row r="31" spans="1:13" ht="16.5" x14ac:dyDescent="0.3">
      <c r="A31" s="148">
        <v>30</v>
      </c>
      <c r="B31" s="148" t="s">
        <v>34</v>
      </c>
      <c r="C31" s="149" t="s">
        <v>216</v>
      </c>
      <c r="D31" s="150">
        <v>408</v>
      </c>
      <c r="E31" s="150" t="s">
        <v>251</v>
      </c>
      <c r="F31" s="241">
        <v>50.84</v>
      </c>
      <c r="G31" s="241">
        <v>547.24176</v>
      </c>
      <c r="H31" s="242">
        <v>601.96593600000006</v>
      </c>
      <c r="I31" s="150" t="s">
        <v>211</v>
      </c>
      <c r="J31" s="242" t="s">
        <v>265</v>
      </c>
      <c r="K31" s="267">
        <v>1270485</v>
      </c>
      <c r="L31" s="287">
        <v>1270485</v>
      </c>
      <c r="M31" s="251">
        <v>0</v>
      </c>
    </row>
    <row r="32" spans="1:13" ht="16.5" x14ac:dyDescent="0.3">
      <c r="A32" s="236">
        <v>31</v>
      </c>
      <c r="B32" s="236" t="s">
        <v>34</v>
      </c>
      <c r="C32" s="237" t="s">
        <v>216</v>
      </c>
      <c r="D32" s="238">
        <v>409</v>
      </c>
      <c r="E32" s="238" t="s">
        <v>253</v>
      </c>
      <c r="F32" s="239">
        <v>32.799999999999997</v>
      </c>
      <c r="G32" s="239">
        <v>353.05919999999998</v>
      </c>
      <c r="H32" s="240">
        <v>388.36511999999999</v>
      </c>
      <c r="I32" s="238" t="s">
        <v>211</v>
      </c>
      <c r="J32" s="240" t="s">
        <v>266</v>
      </c>
      <c r="K32" s="283"/>
      <c r="L32" s="250"/>
      <c r="M32" s="250">
        <v>0</v>
      </c>
    </row>
    <row r="33" spans="1:13" ht="16.5" x14ac:dyDescent="0.3">
      <c r="A33" s="148">
        <v>32</v>
      </c>
      <c r="B33" s="148" t="s">
        <v>34</v>
      </c>
      <c r="C33" s="149" t="s">
        <v>216</v>
      </c>
      <c r="D33" s="150">
        <v>410</v>
      </c>
      <c r="E33" s="150" t="s">
        <v>253</v>
      </c>
      <c r="F33" s="241">
        <v>33.01</v>
      </c>
      <c r="G33" s="241">
        <v>355.31963999999994</v>
      </c>
      <c r="H33" s="242">
        <v>390.85160399999995</v>
      </c>
      <c r="I33" s="150" t="s">
        <v>211</v>
      </c>
      <c r="J33" s="242" t="s">
        <v>266</v>
      </c>
      <c r="K33" s="285"/>
      <c r="L33" s="251"/>
      <c r="M33" s="251">
        <v>0</v>
      </c>
    </row>
    <row r="34" spans="1:13" ht="16.5" x14ac:dyDescent="0.3">
      <c r="A34" s="236">
        <v>33</v>
      </c>
      <c r="B34" s="236" t="s">
        <v>34</v>
      </c>
      <c r="C34" s="237" t="s">
        <v>217</v>
      </c>
      <c r="D34" s="238">
        <v>501</v>
      </c>
      <c r="E34" s="238" t="s">
        <v>251</v>
      </c>
      <c r="F34" s="239">
        <v>44.07</v>
      </c>
      <c r="G34" s="239">
        <v>474.36947999999995</v>
      </c>
      <c r="H34" s="240">
        <v>521.80642799999998</v>
      </c>
      <c r="I34" s="238" t="s">
        <v>211</v>
      </c>
      <c r="J34" s="240" t="s">
        <v>266</v>
      </c>
      <c r="K34" s="283"/>
      <c r="L34" s="250"/>
      <c r="M34" s="250">
        <v>0</v>
      </c>
    </row>
    <row r="35" spans="1:13" ht="16.5" x14ac:dyDescent="0.3">
      <c r="A35" s="148">
        <v>34</v>
      </c>
      <c r="B35" s="148" t="s">
        <v>34</v>
      </c>
      <c r="C35" s="149" t="s">
        <v>217</v>
      </c>
      <c r="D35" s="150">
        <v>502</v>
      </c>
      <c r="E35" s="150" t="s">
        <v>251</v>
      </c>
      <c r="F35" s="241">
        <v>44.07</v>
      </c>
      <c r="G35" s="241">
        <v>474.36947999999995</v>
      </c>
      <c r="H35" s="242">
        <v>521.80642799999998</v>
      </c>
      <c r="I35" s="150" t="s">
        <v>211</v>
      </c>
      <c r="J35" s="242" t="s">
        <v>266</v>
      </c>
      <c r="K35" s="285"/>
      <c r="L35" s="251"/>
      <c r="M35" s="251">
        <v>0</v>
      </c>
    </row>
    <row r="36" spans="1:13" ht="16.5" x14ac:dyDescent="0.3">
      <c r="A36" s="236">
        <v>35</v>
      </c>
      <c r="B36" s="236" t="s">
        <v>34</v>
      </c>
      <c r="C36" s="237" t="s">
        <v>217</v>
      </c>
      <c r="D36" s="238">
        <v>503</v>
      </c>
      <c r="E36" s="238" t="s">
        <v>254</v>
      </c>
      <c r="F36" s="239">
        <v>66.650000000000006</v>
      </c>
      <c r="G36" s="239">
        <v>717.42060000000004</v>
      </c>
      <c r="H36" s="240">
        <v>789.16266000000007</v>
      </c>
      <c r="I36" s="238" t="s">
        <v>167</v>
      </c>
      <c r="J36" s="240" t="s">
        <v>266</v>
      </c>
      <c r="K36" s="283"/>
      <c r="L36" s="250"/>
      <c r="M36" s="250">
        <v>0</v>
      </c>
    </row>
    <row r="37" spans="1:13" ht="16.5" x14ac:dyDescent="0.3">
      <c r="A37" s="148">
        <v>36</v>
      </c>
      <c r="B37" s="148" t="s">
        <v>34</v>
      </c>
      <c r="C37" s="149" t="s">
        <v>217</v>
      </c>
      <c r="D37" s="150">
        <v>504</v>
      </c>
      <c r="E37" s="150" t="s">
        <v>254</v>
      </c>
      <c r="F37" s="241">
        <v>66.650000000000006</v>
      </c>
      <c r="G37" s="241">
        <v>717.42060000000004</v>
      </c>
      <c r="H37" s="242">
        <v>789.16266000000007</v>
      </c>
      <c r="I37" s="150" t="s">
        <v>211</v>
      </c>
      <c r="J37" s="242" t="s">
        <v>265</v>
      </c>
      <c r="K37" s="267">
        <v>6845500</v>
      </c>
      <c r="L37" s="287">
        <v>3728065</v>
      </c>
      <c r="M37" s="251">
        <v>3117435</v>
      </c>
    </row>
    <row r="38" spans="1:13" ht="16.5" x14ac:dyDescent="0.3">
      <c r="A38" s="236">
        <v>37</v>
      </c>
      <c r="B38" s="236" t="s">
        <v>34</v>
      </c>
      <c r="C38" s="237" t="s">
        <v>217</v>
      </c>
      <c r="D38" s="238">
        <v>505</v>
      </c>
      <c r="E38" s="238" t="s">
        <v>251</v>
      </c>
      <c r="F38" s="239">
        <v>44.07</v>
      </c>
      <c r="G38" s="239">
        <v>474.36947999999995</v>
      </c>
      <c r="H38" s="240">
        <v>521.80642799999998</v>
      </c>
      <c r="I38" s="238" t="s">
        <v>211</v>
      </c>
      <c r="J38" s="240" t="s">
        <v>266</v>
      </c>
      <c r="K38" s="283"/>
      <c r="L38" s="250"/>
      <c r="M38" s="250">
        <v>0</v>
      </c>
    </row>
    <row r="39" spans="1:13" ht="16.5" x14ac:dyDescent="0.3">
      <c r="A39" s="148">
        <v>38</v>
      </c>
      <c r="B39" s="148" t="s">
        <v>34</v>
      </c>
      <c r="C39" s="149" t="s">
        <v>217</v>
      </c>
      <c r="D39" s="150">
        <v>506</v>
      </c>
      <c r="E39" s="150" t="s">
        <v>251</v>
      </c>
      <c r="F39" s="241">
        <v>44.13</v>
      </c>
      <c r="G39" s="241">
        <v>475.01531999999997</v>
      </c>
      <c r="H39" s="242">
        <v>522.51685199999997</v>
      </c>
      <c r="I39" s="150" t="s">
        <v>211</v>
      </c>
      <c r="J39" s="242" t="s">
        <v>265</v>
      </c>
      <c r="K39" s="267">
        <v>2146000</v>
      </c>
      <c r="L39" s="287">
        <v>2146000</v>
      </c>
      <c r="M39" s="251">
        <v>0</v>
      </c>
    </row>
    <row r="40" spans="1:13" ht="16.5" x14ac:dyDescent="0.3">
      <c r="A40" s="236">
        <v>39</v>
      </c>
      <c r="B40" s="236" t="s">
        <v>34</v>
      </c>
      <c r="C40" s="237" t="s">
        <v>217</v>
      </c>
      <c r="D40" s="238">
        <v>507</v>
      </c>
      <c r="E40" s="238" t="s">
        <v>253</v>
      </c>
      <c r="F40" s="239">
        <v>33.01</v>
      </c>
      <c r="G40" s="239">
        <v>355.31963999999994</v>
      </c>
      <c r="H40" s="240">
        <v>390.85160399999995</v>
      </c>
      <c r="I40" s="238" t="s">
        <v>211</v>
      </c>
      <c r="J40" s="240" t="s">
        <v>266</v>
      </c>
      <c r="K40" s="283"/>
      <c r="L40" s="250"/>
      <c r="M40" s="250">
        <v>0</v>
      </c>
    </row>
    <row r="41" spans="1:13" ht="16.5" x14ac:dyDescent="0.3">
      <c r="A41" s="148">
        <v>40</v>
      </c>
      <c r="B41" s="148" t="s">
        <v>34</v>
      </c>
      <c r="C41" s="149" t="s">
        <v>217</v>
      </c>
      <c r="D41" s="150">
        <v>508</v>
      </c>
      <c r="E41" s="150" t="s">
        <v>251</v>
      </c>
      <c r="F41" s="241">
        <v>50.84</v>
      </c>
      <c r="G41" s="241">
        <v>547.24176</v>
      </c>
      <c r="H41" s="242">
        <v>601.96593600000006</v>
      </c>
      <c r="I41" s="150" t="s">
        <v>211</v>
      </c>
      <c r="J41" s="242" t="s">
        <v>265</v>
      </c>
      <c r="K41" s="267">
        <v>1270485</v>
      </c>
      <c r="L41" s="287">
        <v>1270485</v>
      </c>
      <c r="M41" s="251">
        <v>0</v>
      </c>
    </row>
    <row r="42" spans="1:13" ht="16.5" x14ac:dyDescent="0.3">
      <c r="A42" s="236">
        <v>41</v>
      </c>
      <c r="B42" s="236" t="s">
        <v>34</v>
      </c>
      <c r="C42" s="237" t="s">
        <v>217</v>
      </c>
      <c r="D42" s="238">
        <v>509</v>
      </c>
      <c r="E42" s="238" t="s">
        <v>253</v>
      </c>
      <c r="F42" s="239">
        <v>34.520000000000003</v>
      </c>
      <c r="G42" s="239">
        <v>371.57328000000001</v>
      </c>
      <c r="H42" s="240">
        <v>408.73060800000002</v>
      </c>
      <c r="I42" s="238" t="s">
        <v>211</v>
      </c>
      <c r="J42" s="240" t="s">
        <v>265</v>
      </c>
      <c r="K42" s="267">
        <v>5152557</v>
      </c>
      <c r="L42" s="286">
        <v>1420032</v>
      </c>
      <c r="M42" s="250">
        <v>3732525</v>
      </c>
    </row>
    <row r="43" spans="1:13" ht="16.5" x14ac:dyDescent="0.3">
      <c r="A43" s="148">
        <v>42</v>
      </c>
      <c r="B43" s="148" t="s">
        <v>34</v>
      </c>
      <c r="C43" s="149" t="s">
        <v>217</v>
      </c>
      <c r="D43" s="150">
        <v>510</v>
      </c>
      <c r="E43" s="150" t="s">
        <v>253</v>
      </c>
      <c r="F43" s="241">
        <v>33.01</v>
      </c>
      <c r="G43" s="241">
        <v>355.31963999999994</v>
      </c>
      <c r="H43" s="242">
        <v>390.85160399999995</v>
      </c>
      <c r="I43" s="150" t="s">
        <v>211</v>
      </c>
      <c r="J43" s="242" t="s">
        <v>266</v>
      </c>
      <c r="K43" s="285"/>
      <c r="L43" s="251"/>
      <c r="M43" s="251">
        <v>0</v>
      </c>
    </row>
    <row r="44" spans="1:13" ht="16.5" x14ac:dyDescent="0.3">
      <c r="A44" s="236">
        <v>43</v>
      </c>
      <c r="B44" s="236" t="s">
        <v>34</v>
      </c>
      <c r="C44" s="237" t="s">
        <v>218</v>
      </c>
      <c r="D44" s="238">
        <v>601</v>
      </c>
      <c r="E44" s="238" t="s">
        <v>251</v>
      </c>
      <c r="F44" s="239">
        <v>44.07</v>
      </c>
      <c r="G44" s="239">
        <v>474.36947999999995</v>
      </c>
      <c r="H44" s="240">
        <v>521.80642799999998</v>
      </c>
      <c r="I44" s="238" t="s">
        <v>211</v>
      </c>
      <c r="J44" s="240" t="s">
        <v>266</v>
      </c>
      <c r="K44" s="283"/>
      <c r="L44" s="250"/>
      <c r="M44" s="250">
        <v>0</v>
      </c>
    </row>
    <row r="45" spans="1:13" ht="16.5" x14ac:dyDescent="0.3">
      <c r="A45" s="148">
        <v>44</v>
      </c>
      <c r="B45" s="148" t="s">
        <v>34</v>
      </c>
      <c r="C45" s="149" t="s">
        <v>218</v>
      </c>
      <c r="D45" s="150">
        <v>602</v>
      </c>
      <c r="E45" s="150" t="s">
        <v>251</v>
      </c>
      <c r="F45" s="241">
        <v>44.07</v>
      </c>
      <c r="G45" s="241">
        <v>474.36947999999995</v>
      </c>
      <c r="H45" s="242">
        <v>521.80642799999998</v>
      </c>
      <c r="I45" s="150" t="s">
        <v>211</v>
      </c>
      <c r="J45" s="242" t="s">
        <v>265</v>
      </c>
      <c r="K45" s="267">
        <v>340000</v>
      </c>
      <c r="L45" s="287">
        <v>100000</v>
      </c>
      <c r="M45" s="251">
        <v>240000</v>
      </c>
    </row>
    <row r="46" spans="1:13" ht="16.5" x14ac:dyDescent="0.3">
      <c r="A46" s="236">
        <v>45</v>
      </c>
      <c r="B46" s="236" t="s">
        <v>34</v>
      </c>
      <c r="C46" s="237" t="s">
        <v>218</v>
      </c>
      <c r="D46" s="238">
        <v>603</v>
      </c>
      <c r="E46" s="238" t="s">
        <v>254</v>
      </c>
      <c r="F46" s="239">
        <v>66.650000000000006</v>
      </c>
      <c r="G46" s="239">
        <v>717.42060000000004</v>
      </c>
      <c r="H46" s="240">
        <v>789.16266000000007</v>
      </c>
      <c r="I46" s="243" t="s">
        <v>211</v>
      </c>
      <c r="J46" s="240" t="s">
        <v>266</v>
      </c>
      <c r="K46" s="283"/>
      <c r="L46" s="250"/>
      <c r="M46" s="250">
        <v>0</v>
      </c>
    </row>
    <row r="47" spans="1:13" ht="16.5" x14ac:dyDescent="0.3">
      <c r="A47" s="148">
        <v>46</v>
      </c>
      <c r="B47" s="148" t="s">
        <v>34</v>
      </c>
      <c r="C47" s="149" t="s">
        <v>218</v>
      </c>
      <c r="D47" s="150">
        <v>604</v>
      </c>
      <c r="E47" s="150" t="s">
        <v>254</v>
      </c>
      <c r="F47" s="241">
        <v>66.650000000000006</v>
      </c>
      <c r="G47" s="241">
        <v>717.42060000000004</v>
      </c>
      <c r="H47" s="242">
        <v>789.16266000000007</v>
      </c>
      <c r="I47" s="150" t="s">
        <v>211</v>
      </c>
      <c r="J47" s="242" t="s">
        <v>265</v>
      </c>
      <c r="K47" s="267">
        <v>5208400</v>
      </c>
      <c r="L47" s="287">
        <v>0</v>
      </c>
      <c r="M47" s="251">
        <v>5208400</v>
      </c>
    </row>
    <row r="48" spans="1:13" ht="16.5" x14ac:dyDescent="0.3">
      <c r="A48" s="236">
        <v>47</v>
      </c>
      <c r="B48" s="236" t="s">
        <v>34</v>
      </c>
      <c r="C48" s="237" t="s">
        <v>218</v>
      </c>
      <c r="D48" s="238">
        <v>605</v>
      </c>
      <c r="E48" s="238" t="s">
        <v>251</v>
      </c>
      <c r="F48" s="239">
        <v>44.07</v>
      </c>
      <c r="G48" s="239">
        <v>474.36947999999995</v>
      </c>
      <c r="H48" s="240">
        <v>521.80642799999998</v>
      </c>
      <c r="I48" s="238" t="s">
        <v>211</v>
      </c>
      <c r="J48" s="240" t="s">
        <v>266</v>
      </c>
      <c r="K48" s="283"/>
      <c r="L48" s="250"/>
      <c r="M48" s="250">
        <v>0</v>
      </c>
    </row>
    <row r="49" spans="1:13" ht="16.5" x14ac:dyDescent="0.3">
      <c r="A49" s="148">
        <v>48</v>
      </c>
      <c r="B49" s="148" t="s">
        <v>34</v>
      </c>
      <c r="C49" s="149" t="s">
        <v>218</v>
      </c>
      <c r="D49" s="150">
        <v>606</v>
      </c>
      <c r="E49" s="150" t="s">
        <v>251</v>
      </c>
      <c r="F49" s="241">
        <v>44.13</v>
      </c>
      <c r="G49" s="241">
        <v>475.01531999999997</v>
      </c>
      <c r="H49" s="242">
        <v>522.51685199999997</v>
      </c>
      <c r="I49" s="150" t="s">
        <v>211</v>
      </c>
      <c r="J49" s="242" t="s">
        <v>266</v>
      </c>
      <c r="K49" s="285"/>
      <c r="L49" s="251"/>
      <c r="M49" s="251">
        <v>0</v>
      </c>
    </row>
    <row r="50" spans="1:13" ht="16.5" x14ac:dyDescent="0.3">
      <c r="A50" s="236">
        <v>49</v>
      </c>
      <c r="B50" s="236" t="s">
        <v>34</v>
      </c>
      <c r="C50" s="237" t="s">
        <v>218</v>
      </c>
      <c r="D50" s="238">
        <v>607</v>
      </c>
      <c r="E50" s="238" t="s">
        <v>253</v>
      </c>
      <c r="F50" s="239">
        <v>33.01</v>
      </c>
      <c r="G50" s="239">
        <v>355.31963999999994</v>
      </c>
      <c r="H50" s="240">
        <v>390.85160399999995</v>
      </c>
      <c r="I50" s="238" t="s">
        <v>211</v>
      </c>
      <c r="J50" s="240" t="s">
        <v>266</v>
      </c>
      <c r="K50" s="283"/>
      <c r="L50" s="250"/>
      <c r="M50" s="250">
        <v>0</v>
      </c>
    </row>
    <row r="51" spans="1:13" ht="16.5" x14ac:dyDescent="0.3">
      <c r="A51" s="148">
        <v>50</v>
      </c>
      <c r="B51" s="148" t="s">
        <v>34</v>
      </c>
      <c r="C51" s="149" t="s">
        <v>218</v>
      </c>
      <c r="D51" s="150">
        <v>608</v>
      </c>
      <c r="E51" s="150" t="s">
        <v>251</v>
      </c>
      <c r="F51" s="241">
        <v>50.84</v>
      </c>
      <c r="G51" s="241">
        <v>547.24176</v>
      </c>
      <c r="H51" s="242">
        <v>601.96593600000006</v>
      </c>
      <c r="I51" s="150" t="s">
        <v>211</v>
      </c>
      <c r="J51" s="242" t="s">
        <v>265</v>
      </c>
      <c r="K51" s="267">
        <v>1411650</v>
      </c>
      <c r="L51" s="287">
        <v>423495</v>
      </c>
      <c r="M51" s="251">
        <v>988155</v>
      </c>
    </row>
    <row r="52" spans="1:13" ht="16.5" x14ac:dyDescent="0.3">
      <c r="A52" s="236">
        <v>51</v>
      </c>
      <c r="B52" s="236" t="s">
        <v>34</v>
      </c>
      <c r="C52" s="237" t="s">
        <v>218</v>
      </c>
      <c r="D52" s="238">
        <v>609</v>
      </c>
      <c r="E52" s="238" t="s">
        <v>173</v>
      </c>
      <c r="F52" s="239">
        <v>34.520000000000003</v>
      </c>
      <c r="G52" s="239">
        <v>371.57328000000001</v>
      </c>
      <c r="H52" s="240">
        <v>408.73060800000002</v>
      </c>
      <c r="I52" s="238" t="s">
        <v>211</v>
      </c>
      <c r="J52" s="240" t="s">
        <v>265</v>
      </c>
      <c r="K52" s="267">
        <v>444000</v>
      </c>
      <c r="L52" s="286">
        <v>135420</v>
      </c>
      <c r="M52" s="250">
        <v>308580</v>
      </c>
    </row>
    <row r="53" spans="1:13" ht="16.5" x14ac:dyDescent="0.3">
      <c r="A53" s="148">
        <v>52</v>
      </c>
      <c r="B53" s="148" t="s">
        <v>34</v>
      </c>
      <c r="C53" s="149" t="s">
        <v>218</v>
      </c>
      <c r="D53" s="150">
        <v>610</v>
      </c>
      <c r="E53" s="150" t="s">
        <v>173</v>
      </c>
      <c r="F53" s="241">
        <v>33.01</v>
      </c>
      <c r="G53" s="241">
        <v>355.31963999999994</v>
      </c>
      <c r="H53" s="242">
        <v>390.85160399999995</v>
      </c>
      <c r="I53" s="150" t="s">
        <v>211</v>
      </c>
      <c r="J53" s="242" t="s">
        <v>266</v>
      </c>
      <c r="K53" s="285"/>
      <c r="L53" s="251"/>
      <c r="M53" s="251">
        <v>0</v>
      </c>
    </row>
    <row r="54" spans="1:13" ht="16.5" x14ac:dyDescent="0.3">
      <c r="A54" s="236">
        <v>53</v>
      </c>
      <c r="B54" s="236" t="s">
        <v>34</v>
      </c>
      <c r="C54" s="237" t="s">
        <v>219</v>
      </c>
      <c r="D54" s="238">
        <v>701</v>
      </c>
      <c r="E54" s="238" t="s">
        <v>172</v>
      </c>
      <c r="F54" s="239">
        <v>44.07</v>
      </c>
      <c r="G54" s="239">
        <v>474.36947999999995</v>
      </c>
      <c r="H54" s="240">
        <v>521.80642799999998</v>
      </c>
      <c r="I54" s="238" t="s">
        <v>211</v>
      </c>
      <c r="J54" s="240" t="s">
        <v>266</v>
      </c>
      <c r="K54" s="283"/>
      <c r="L54" s="250"/>
      <c r="M54" s="250">
        <v>0</v>
      </c>
    </row>
    <row r="55" spans="1:13" ht="16.5" x14ac:dyDescent="0.3">
      <c r="A55" s="148">
        <v>54</v>
      </c>
      <c r="B55" s="148" t="s">
        <v>34</v>
      </c>
      <c r="C55" s="149" t="s">
        <v>219</v>
      </c>
      <c r="D55" s="150">
        <v>702</v>
      </c>
      <c r="E55" s="150" t="s">
        <v>172</v>
      </c>
      <c r="F55" s="241">
        <v>44.07</v>
      </c>
      <c r="G55" s="241">
        <v>474.36947999999995</v>
      </c>
      <c r="H55" s="242">
        <v>521.80642799999998</v>
      </c>
      <c r="I55" s="150" t="s">
        <v>211</v>
      </c>
      <c r="J55" s="242" t="s">
        <v>265</v>
      </c>
      <c r="K55" s="267">
        <v>2374550</v>
      </c>
      <c r="L55" s="287">
        <v>712356</v>
      </c>
      <c r="M55" s="251">
        <v>1662194</v>
      </c>
    </row>
    <row r="56" spans="1:13" ht="16.5" x14ac:dyDescent="0.3">
      <c r="A56" s="236">
        <v>55</v>
      </c>
      <c r="B56" s="236" t="s">
        <v>34</v>
      </c>
      <c r="C56" s="237" t="s">
        <v>219</v>
      </c>
      <c r="D56" s="238">
        <v>704</v>
      </c>
      <c r="E56" s="238" t="s">
        <v>174</v>
      </c>
      <c r="F56" s="239">
        <v>66.650000000000006</v>
      </c>
      <c r="G56" s="239">
        <v>717.42060000000004</v>
      </c>
      <c r="H56" s="240">
        <v>789.16266000000007</v>
      </c>
      <c r="I56" s="238" t="s">
        <v>211</v>
      </c>
      <c r="J56" s="240" t="s">
        <v>265</v>
      </c>
      <c r="K56" s="267">
        <v>3067325</v>
      </c>
      <c r="L56" s="286">
        <v>920167</v>
      </c>
      <c r="M56" s="250">
        <v>2147158</v>
      </c>
    </row>
    <row r="57" spans="1:13" ht="16.5" x14ac:dyDescent="0.3">
      <c r="A57" s="148">
        <v>56</v>
      </c>
      <c r="B57" s="148" t="s">
        <v>34</v>
      </c>
      <c r="C57" s="149" t="s">
        <v>219</v>
      </c>
      <c r="D57" s="150">
        <v>705</v>
      </c>
      <c r="E57" s="150" t="s">
        <v>251</v>
      </c>
      <c r="F57" s="241">
        <v>44.07</v>
      </c>
      <c r="G57" s="241">
        <v>474.36947999999995</v>
      </c>
      <c r="H57" s="242">
        <v>521.80642799999998</v>
      </c>
      <c r="I57" s="150" t="s">
        <v>211</v>
      </c>
      <c r="J57" s="242" t="s">
        <v>266</v>
      </c>
      <c r="K57" s="285"/>
      <c r="L57" s="251"/>
      <c r="M57" s="251">
        <v>0</v>
      </c>
    </row>
    <row r="58" spans="1:13" ht="16.5" x14ac:dyDescent="0.3">
      <c r="A58" s="236">
        <v>57</v>
      </c>
      <c r="B58" s="236" t="s">
        <v>34</v>
      </c>
      <c r="C58" s="237" t="s">
        <v>219</v>
      </c>
      <c r="D58" s="238">
        <v>706</v>
      </c>
      <c r="E58" s="238" t="s">
        <v>251</v>
      </c>
      <c r="F58" s="239">
        <v>44.13</v>
      </c>
      <c r="G58" s="239">
        <v>475.01531999999997</v>
      </c>
      <c r="H58" s="240">
        <v>522.51685199999997</v>
      </c>
      <c r="I58" s="238" t="s">
        <v>211</v>
      </c>
      <c r="J58" s="240" t="s">
        <v>266</v>
      </c>
      <c r="K58" s="283"/>
      <c r="L58" s="250"/>
      <c r="M58" s="250">
        <v>0</v>
      </c>
    </row>
    <row r="59" spans="1:13" ht="16.5" x14ac:dyDescent="0.3">
      <c r="A59" s="148">
        <v>58</v>
      </c>
      <c r="B59" s="148" t="s">
        <v>34</v>
      </c>
      <c r="C59" s="149" t="s">
        <v>219</v>
      </c>
      <c r="D59" s="150">
        <v>707</v>
      </c>
      <c r="E59" s="150" t="s">
        <v>253</v>
      </c>
      <c r="F59" s="241">
        <v>33.01</v>
      </c>
      <c r="G59" s="241">
        <v>355.31963999999994</v>
      </c>
      <c r="H59" s="242">
        <v>390.85160399999995</v>
      </c>
      <c r="I59" s="150" t="s">
        <v>211</v>
      </c>
      <c r="J59" s="242" t="s">
        <v>266</v>
      </c>
      <c r="K59" s="285"/>
      <c r="L59" s="251"/>
      <c r="M59" s="251">
        <v>0</v>
      </c>
    </row>
    <row r="60" spans="1:13" ht="16.5" x14ac:dyDescent="0.3">
      <c r="A60" s="236">
        <v>59</v>
      </c>
      <c r="B60" s="236" t="s">
        <v>34</v>
      </c>
      <c r="C60" s="237" t="s">
        <v>219</v>
      </c>
      <c r="D60" s="238">
        <v>708</v>
      </c>
      <c r="E60" s="238" t="s">
        <v>251</v>
      </c>
      <c r="F60" s="239">
        <v>50.84</v>
      </c>
      <c r="G60" s="239">
        <v>547.24176</v>
      </c>
      <c r="H60" s="240">
        <v>601.96593600000006</v>
      </c>
      <c r="I60" s="238" t="s">
        <v>167</v>
      </c>
      <c r="J60" s="240" t="s">
        <v>265</v>
      </c>
      <c r="K60" s="272">
        <v>587500</v>
      </c>
      <c r="L60" s="273">
        <v>587500</v>
      </c>
      <c r="M60" s="250">
        <v>0</v>
      </c>
    </row>
    <row r="61" spans="1:13" ht="16.5" x14ac:dyDescent="0.3">
      <c r="A61" s="148">
        <v>60</v>
      </c>
      <c r="B61" s="148" t="s">
        <v>34</v>
      </c>
      <c r="C61" s="149" t="s">
        <v>219</v>
      </c>
      <c r="D61" s="150">
        <v>709</v>
      </c>
      <c r="E61" s="150" t="s">
        <v>173</v>
      </c>
      <c r="F61" s="241">
        <v>34.520000000000003</v>
      </c>
      <c r="G61" s="241">
        <v>371.57328000000001</v>
      </c>
      <c r="H61" s="242">
        <v>408.73060800000002</v>
      </c>
      <c r="I61" s="150" t="s">
        <v>211</v>
      </c>
      <c r="J61" s="242" t="s">
        <v>265</v>
      </c>
      <c r="K61" s="267">
        <v>444000</v>
      </c>
      <c r="L61" s="287">
        <v>133200</v>
      </c>
      <c r="M61" s="251">
        <v>310800</v>
      </c>
    </row>
    <row r="62" spans="1:13" ht="16.5" x14ac:dyDescent="0.3">
      <c r="A62" s="236">
        <v>61</v>
      </c>
      <c r="B62" s="236" t="s">
        <v>34</v>
      </c>
      <c r="C62" s="237" t="s">
        <v>219</v>
      </c>
      <c r="D62" s="238">
        <v>710</v>
      </c>
      <c r="E62" s="238" t="s">
        <v>173</v>
      </c>
      <c r="F62" s="239">
        <v>33.01</v>
      </c>
      <c r="G62" s="239">
        <v>355.31963999999994</v>
      </c>
      <c r="H62" s="240">
        <v>390.85160399999995</v>
      </c>
      <c r="I62" s="238" t="s">
        <v>211</v>
      </c>
      <c r="J62" s="240" t="s">
        <v>266</v>
      </c>
      <c r="K62" s="283"/>
      <c r="L62" s="250"/>
      <c r="M62" s="250">
        <v>0</v>
      </c>
    </row>
    <row r="63" spans="1:13" ht="16.5" x14ac:dyDescent="0.3">
      <c r="A63" s="148">
        <v>62</v>
      </c>
      <c r="B63" s="148" t="s">
        <v>34</v>
      </c>
      <c r="C63" s="149" t="s">
        <v>220</v>
      </c>
      <c r="D63" s="150">
        <v>801</v>
      </c>
      <c r="E63" s="150" t="s">
        <v>172</v>
      </c>
      <c r="F63" s="241">
        <v>44.07</v>
      </c>
      <c r="G63" s="241">
        <v>474.36947999999995</v>
      </c>
      <c r="H63" s="242">
        <v>521.80642799999998</v>
      </c>
      <c r="I63" s="150" t="s">
        <v>211</v>
      </c>
      <c r="J63" s="242" t="s">
        <v>266</v>
      </c>
      <c r="K63" s="285"/>
      <c r="L63" s="251"/>
      <c r="M63" s="251">
        <v>0</v>
      </c>
    </row>
    <row r="64" spans="1:13" ht="16.5" x14ac:dyDescent="0.3">
      <c r="A64" s="236">
        <v>63</v>
      </c>
      <c r="B64" s="236" t="s">
        <v>34</v>
      </c>
      <c r="C64" s="237" t="s">
        <v>220</v>
      </c>
      <c r="D64" s="238">
        <v>802</v>
      </c>
      <c r="E64" s="238" t="s">
        <v>172</v>
      </c>
      <c r="F64" s="239">
        <v>44.07</v>
      </c>
      <c r="G64" s="239">
        <v>474.36947999999995</v>
      </c>
      <c r="H64" s="240">
        <v>521.80642799999998</v>
      </c>
      <c r="I64" s="238" t="s">
        <v>211</v>
      </c>
      <c r="J64" s="240" t="s">
        <v>266</v>
      </c>
      <c r="K64" s="283"/>
      <c r="L64" s="250"/>
      <c r="M64" s="250">
        <v>0</v>
      </c>
    </row>
    <row r="65" spans="1:13" ht="16.5" x14ac:dyDescent="0.3">
      <c r="A65" s="148">
        <v>64</v>
      </c>
      <c r="B65" s="148" t="s">
        <v>34</v>
      </c>
      <c r="C65" s="149" t="s">
        <v>220</v>
      </c>
      <c r="D65" s="150">
        <v>805</v>
      </c>
      <c r="E65" s="150" t="s">
        <v>172</v>
      </c>
      <c r="F65" s="241">
        <v>44.07</v>
      </c>
      <c r="G65" s="241">
        <v>474.36947999999995</v>
      </c>
      <c r="H65" s="242">
        <v>521.80642799999998</v>
      </c>
      <c r="I65" s="150" t="s">
        <v>211</v>
      </c>
      <c r="J65" s="242" t="s">
        <v>265</v>
      </c>
      <c r="K65" s="267">
        <v>2374550</v>
      </c>
      <c r="L65" s="287">
        <v>712365</v>
      </c>
      <c r="M65" s="251">
        <v>1662185</v>
      </c>
    </row>
    <row r="66" spans="1:13" ht="16.5" x14ac:dyDescent="0.3">
      <c r="A66" s="236">
        <v>65</v>
      </c>
      <c r="B66" s="236" t="s">
        <v>34</v>
      </c>
      <c r="C66" s="237" t="s">
        <v>220</v>
      </c>
      <c r="D66" s="238">
        <v>806</v>
      </c>
      <c r="E66" s="238" t="s">
        <v>172</v>
      </c>
      <c r="F66" s="239">
        <v>44.13</v>
      </c>
      <c r="G66" s="239">
        <v>475.01531999999997</v>
      </c>
      <c r="H66" s="240">
        <v>522.51685199999997</v>
      </c>
      <c r="I66" s="238" t="s">
        <v>211</v>
      </c>
      <c r="J66" s="240" t="s">
        <v>265</v>
      </c>
      <c r="K66" s="267">
        <v>2374550</v>
      </c>
      <c r="L66" s="286">
        <v>1780913.25</v>
      </c>
      <c r="M66" s="250">
        <v>593636.75</v>
      </c>
    </row>
    <row r="67" spans="1:13" ht="16.5" x14ac:dyDescent="0.3">
      <c r="A67" s="148">
        <v>66</v>
      </c>
      <c r="B67" s="148" t="s">
        <v>34</v>
      </c>
      <c r="C67" s="149" t="s">
        <v>220</v>
      </c>
      <c r="D67" s="150">
        <v>807</v>
      </c>
      <c r="E67" s="150" t="s">
        <v>173</v>
      </c>
      <c r="F67" s="241">
        <v>33.01</v>
      </c>
      <c r="G67" s="241">
        <v>355.31963999999994</v>
      </c>
      <c r="H67" s="242">
        <v>390.85160399999995</v>
      </c>
      <c r="I67" s="150" t="s">
        <v>211</v>
      </c>
      <c r="J67" s="242" t="s">
        <v>266</v>
      </c>
      <c r="K67" s="285"/>
      <c r="L67" s="251"/>
      <c r="M67" s="251">
        <v>0</v>
      </c>
    </row>
    <row r="68" spans="1:13" ht="16.5" x14ac:dyDescent="0.3">
      <c r="A68" s="236">
        <v>67</v>
      </c>
      <c r="B68" s="236" t="s">
        <v>34</v>
      </c>
      <c r="C68" s="237" t="s">
        <v>220</v>
      </c>
      <c r="D68" s="238">
        <v>809</v>
      </c>
      <c r="E68" s="238" t="s">
        <v>173</v>
      </c>
      <c r="F68" s="239">
        <v>34.520000000000003</v>
      </c>
      <c r="G68" s="239">
        <v>371.57328000000001</v>
      </c>
      <c r="H68" s="240">
        <v>408.73060800000002</v>
      </c>
      <c r="I68" s="238" t="s">
        <v>211</v>
      </c>
      <c r="J68" s="240" t="s">
        <v>265</v>
      </c>
      <c r="K68" s="267">
        <v>444000</v>
      </c>
      <c r="L68" s="286">
        <v>133200</v>
      </c>
      <c r="M68" s="250">
        <v>310800</v>
      </c>
    </row>
    <row r="69" spans="1:13" ht="16.5" x14ac:dyDescent="0.3">
      <c r="A69" s="148">
        <v>68</v>
      </c>
      <c r="B69" s="148" t="s">
        <v>34</v>
      </c>
      <c r="C69" s="149" t="s">
        <v>220</v>
      </c>
      <c r="D69" s="150">
        <v>810</v>
      </c>
      <c r="E69" s="150" t="s">
        <v>173</v>
      </c>
      <c r="F69" s="241">
        <v>33.01</v>
      </c>
      <c r="G69" s="241">
        <v>355.31963999999994</v>
      </c>
      <c r="H69" s="242">
        <v>390.85160399999995</v>
      </c>
      <c r="I69" s="150" t="s">
        <v>211</v>
      </c>
      <c r="J69" s="242" t="s">
        <v>266</v>
      </c>
      <c r="K69" s="285"/>
      <c r="L69" s="251"/>
      <c r="M69" s="251">
        <v>0</v>
      </c>
    </row>
    <row r="70" spans="1:13" ht="16.5" x14ac:dyDescent="0.3">
      <c r="A70" s="236">
        <v>69</v>
      </c>
      <c r="B70" s="236" t="s">
        <v>34</v>
      </c>
      <c r="C70" s="237" t="s">
        <v>221</v>
      </c>
      <c r="D70" s="238">
        <v>901</v>
      </c>
      <c r="E70" s="238" t="s">
        <v>172</v>
      </c>
      <c r="F70" s="239">
        <v>44.07</v>
      </c>
      <c r="G70" s="239">
        <v>474.36947999999995</v>
      </c>
      <c r="H70" s="240">
        <v>521.80642799999998</v>
      </c>
      <c r="I70" s="238" t="s">
        <v>211</v>
      </c>
      <c r="J70" s="240" t="s">
        <v>266</v>
      </c>
      <c r="K70" s="283"/>
      <c r="L70" s="250"/>
      <c r="M70" s="250">
        <v>0</v>
      </c>
    </row>
    <row r="71" spans="1:13" ht="16.5" x14ac:dyDescent="0.3">
      <c r="A71" s="148">
        <v>70</v>
      </c>
      <c r="B71" s="148" t="s">
        <v>34</v>
      </c>
      <c r="C71" s="149" t="s">
        <v>221</v>
      </c>
      <c r="D71" s="150">
        <v>902</v>
      </c>
      <c r="E71" s="150" t="s">
        <v>172</v>
      </c>
      <c r="F71" s="241">
        <v>44.07</v>
      </c>
      <c r="G71" s="241">
        <v>474.36947999999995</v>
      </c>
      <c r="H71" s="242">
        <v>521.80642799999998</v>
      </c>
      <c r="I71" s="150" t="s">
        <v>211</v>
      </c>
      <c r="J71" s="242" t="s">
        <v>265</v>
      </c>
      <c r="K71" s="267">
        <v>1872000</v>
      </c>
      <c r="L71" s="287">
        <v>0</v>
      </c>
      <c r="M71" s="251">
        <v>1872000</v>
      </c>
    </row>
    <row r="72" spans="1:13" ht="16.5" x14ac:dyDescent="0.3">
      <c r="A72" s="236">
        <v>71</v>
      </c>
      <c r="B72" s="236" t="s">
        <v>34</v>
      </c>
      <c r="C72" s="237" t="s">
        <v>221</v>
      </c>
      <c r="D72" s="238">
        <v>905</v>
      </c>
      <c r="E72" s="238" t="s">
        <v>172</v>
      </c>
      <c r="F72" s="239">
        <v>44.07</v>
      </c>
      <c r="G72" s="239">
        <v>474.36947999999995</v>
      </c>
      <c r="H72" s="240">
        <v>521.80642799999998</v>
      </c>
      <c r="I72" s="238" t="s">
        <v>211</v>
      </c>
      <c r="J72" s="240" t="s">
        <v>265</v>
      </c>
      <c r="K72" s="267">
        <v>2374550</v>
      </c>
      <c r="L72" s="286">
        <v>712365</v>
      </c>
      <c r="M72" s="250">
        <v>1662185</v>
      </c>
    </row>
    <row r="73" spans="1:13" ht="16.5" x14ac:dyDescent="0.3">
      <c r="A73" s="148">
        <v>72</v>
      </c>
      <c r="B73" s="148" t="s">
        <v>34</v>
      </c>
      <c r="C73" s="149" t="s">
        <v>221</v>
      </c>
      <c r="D73" s="150">
        <v>906</v>
      </c>
      <c r="E73" s="150" t="s">
        <v>172</v>
      </c>
      <c r="F73" s="241">
        <v>44.13</v>
      </c>
      <c r="G73" s="241">
        <v>475.01531999999997</v>
      </c>
      <c r="H73" s="242">
        <v>522.51685199999997</v>
      </c>
      <c r="I73" s="150" t="s">
        <v>211</v>
      </c>
      <c r="J73" s="242" t="s">
        <v>265</v>
      </c>
      <c r="K73" s="267">
        <v>2164500</v>
      </c>
      <c r="L73" s="287">
        <v>2164500</v>
      </c>
      <c r="M73" s="251">
        <v>0</v>
      </c>
    </row>
    <row r="74" spans="1:13" ht="16.5" x14ac:dyDescent="0.3">
      <c r="A74" s="236">
        <v>73</v>
      </c>
      <c r="B74" s="236" t="s">
        <v>34</v>
      </c>
      <c r="C74" s="237" t="s">
        <v>221</v>
      </c>
      <c r="D74" s="238">
        <v>907</v>
      </c>
      <c r="E74" s="238" t="s">
        <v>173</v>
      </c>
      <c r="F74" s="239">
        <v>33.01</v>
      </c>
      <c r="G74" s="239">
        <v>355.31963999999994</v>
      </c>
      <c r="H74" s="240">
        <v>390.85160399999995</v>
      </c>
      <c r="I74" s="238" t="s">
        <v>211</v>
      </c>
      <c r="J74" s="240" t="s">
        <v>266</v>
      </c>
      <c r="K74" s="283"/>
      <c r="L74" s="250"/>
      <c r="M74" s="250">
        <v>0</v>
      </c>
    </row>
    <row r="75" spans="1:13" ht="16.5" x14ac:dyDescent="0.3">
      <c r="A75" s="148">
        <v>74</v>
      </c>
      <c r="B75" s="148" t="s">
        <v>34</v>
      </c>
      <c r="C75" s="149" t="s">
        <v>221</v>
      </c>
      <c r="D75" s="150">
        <v>908</v>
      </c>
      <c r="E75" s="150" t="s">
        <v>172</v>
      </c>
      <c r="F75" s="241">
        <v>50.84</v>
      </c>
      <c r="G75" s="241">
        <v>547.24176</v>
      </c>
      <c r="H75" s="242">
        <v>601.96593600000006</v>
      </c>
      <c r="I75" s="150" t="s">
        <v>211</v>
      </c>
      <c r="J75" s="242" t="s">
        <v>266</v>
      </c>
      <c r="K75" s="285"/>
      <c r="L75" s="251"/>
      <c r="M75" s="251">
        <v>0</v>
      </c>
    </row>
    <row r="76" spans="1:13" ht="16.5" x14ac:dyDescent="0.3">
      <c r="A76" s="236">
        <v>75</v>
      </c>
      <c r="B76" s="236" t="s">
        <v>34</v>
      </c>
      <c r="C76" s="237" t="s">
        <v>221</v>
      </c>
      <c r="D76" s="238">
        <v>909</v>
      </c>
      <c r="E76" s="238" t="s">
        <v>173</v>
      </c>
      <c r="F76" s="239">
        <v>34.520000000000003</v>
      </c>
      <c r="G76" s="239">
        <v>371.57328000000001</v>
      </c>
      <c r="H76" s="240">
        <v>408.73060800000002</v>
      </c>
      <c r="I76" s="238" t="s">
        <v>211</v>
      </c>
      <c r="J76" s="240" t="s">
        <v>266</v>
      </c>
      <c r="K76" s="283"/>
      <c r="L76" s="250"/>
      <c r="M76" s="250">
        <v>0</v>
      </c>
    </row>
    <row r="77" spans="1:13" ht="16.5" x14ac:dyDescent="0.3">
      <c r="A77" s="148">
        <v>76</v>
      </c>
      <c r="B77" s="148" t="s">
        <v>34</v>
      </c>
      <c r="C77" s="149" t="s">
        <v>221</v>
      </c>
      <c r="D77" s="150">
        <v>910</v>
      </c>
      <c r="E77" s="150" t="s">
        <v>173</v>
      </c>
      <c r="F77" s="241">
        <v>33.01</v>
      </c>
      <c r="G77" s="241">
        <v>355.31963999999994</v>
      </c>
      <c r="H77" s="242">
        <v>390.85160399999995</v>
      </c>
      <c r="I77" s="150" t="s">
        <v>211</v>
      </c>
      <c r="J77" s="242" t="s">
        <v>266</v>
      </c>
      <c r="K77" s="285"/>
      <c r="L77" s="251"/>
      <c r="M77" s="251">
        <v>0</v>
      </c>
    </row>
    <row r="78" spans="1:13" ht="16.5" x14ac:dyDescent="0.3">
      <c r="A78" s="236">
        <v>77</v>
      </c>
      <c r="B78" s="236" t="s">
        <v>34</v>
      </c>
      <c r="C78" s="237" t="s">
        <v>222</v>
      </c>
      <c r="D78" s="238">
        <v>1001</v>
      </c>
      <c r="E78" s="238" t="s">
        <v>172</v>
      </c>
      <c r="F78" s="239">
        <v>44.07</v>
      </c>
      <c r="G78" s="239">
        <v>474.36947999999995</v>
      </c>
      <c r="H78" s="240">
        <v>521.80642799999998</v>
      </c>
      <c r="I78" s="238" t="s">
        <v>211</v>
      </c>
      <c r="J78" s="240" t="s">
        <v>266</v>
      </c>
      <c r="K78" s="283"/>
      <c r="L78" s="250"/>
      <c r="M78" s="250">
        <v>0</v>
      </c>
    </row>
    <row r="79" spans="1:13" ht="16.5" x14ac:dyDescent="0.3">
      <c r="A79" s="148">
        <v>78</v>
      </c>
      <c r="B79" s="148" t="s">
        <v>34</v>
      </c>
      <c r="C79" s="149" t="s">
        <v>222</v>
      </c>
      <c r="D79" s="150">
        <v>1002</v>
      </c>
      <c r="E79" s="150" t="s">
        <v>172</v>
      </c>
      <c r="F79" s="241">
        <v>44.07</v>
      </c>
      <c r="G79" s="241">
        <v>474.36947999999995</v>
      </c>
      <c r="H79" s="242">
        <v>521.80642799999998</v>
      </c>
      <c r="I79" s="150" t="s">
        <v>211</v>
      </c>
      <c r="J79" s="242" t="s">
        <v>265</v>
      </c>
      <c r="K79" s="267">
        <v>2374550</v>
      </c>
      <c r="L79" s="287">
        <v>712365</v>
      </c>
      <c r="M79" s="251">
        <v>1662185</v>
      </c>
    </row>
    <row r="80" spans="1:13" ht="16.5" x14ac:dyDescent="0.3">
      <c r="A80" s="236">
        <v>79</v>
      </c>
      <c r="B80" s="236" t="s">
        <v>34</v>
      </c>
      <c r="C80" s="237" t="s">
        <v>222</v>
      </c>
      <c r="D80" s="238">
        <v>1004</v>
      </c>
      <c r="E80" s="238" t="s">
        <v>174</v>
      </c>
      <c r="F80" s="239">
        <v>73.91</v>
      </c>
      <c r="G80" s="239">
        <v>795.56723999999997</v>
      </c>
      <c r="H80" s="240">
        <v>875.123964</v>
      </c>
      <c r="I80" s="238" t="s">
        <v>167</v>
      </c>
      <c r="J80" s="240" t="s">
        <v>265</v>
      </c>
      <c r="K80" s="272">
        <v>5550000</v>
      </c>
      <c r="L80" s="273">
        <v>5550000</v>
      </c>
      <c r="M80" s="250">
        <v>0</v>
      </c>
    </row>
    <row r="81" spans="1:13" ht="16.5" x14ac:dyDescent="0.3">
      <c r="A81" s="148">
        <v>80</v>
      </c>
      <c r="B81" s="148" t="s">
        <v>34</v>
      </c>
      <c r="C81" s="149" t="s">
        <v>222</v>
      </c>
      <c r="D81" s="150">
        <v>1005</v>
      </c>
      <c r="E81" s="150" t="s">
        <v>172</v>
      </c>
      <c r="F81" s="241">
        <v>44.07</v>
      </c>
      <c r="G81" s="241">
        <v>474.36947999999995</v>
      </c>
      <c r="H81" s="242">
        <v>521.80642799999998</v>
      </c>
      <c r="I81" s="244" t="s">
        <v>211</v>
      </c>
      <c r="J81" s="242" t="s">
        <v>266</v>
      </c>
      <c r="K81" s="285"/>
      <c r="L81" s="251"/>
      <c r="M81" s="251">
        <v>0</v>
      </c>
    </row>
    <row r="82" spans="1:13" ht="16.5" x14ac:dyDescent="0.3">
      <c r="A82" s="236">
        <v>81</v>
      </c>
      <c r="B82" s="236" t="s">
        <v>34</v>
      </c>
      <c r="C82" s="237" t="s">
        <v>222</v>
      </c>
      <c r="D82" s="238">
        <v>1006</v>
      </c>
      <c r="E82" s="238" t="s">
        <v>172</v>
      </c>
      <c r="F82" s="239">
        <v>44.13</v>
      </c>
      <c r="G82" s="239">
        <v>475.01531999999997</v>
      </c>
      <c r="H82" s="240">
        <v>522.51685199999997</v>
      </c>
      <c r="I82" s="243" t="s">
        <v>211</v>
      </c>
      <c r="J82" s="240" t="s">
        <v>266</v>
      </c>
      <c r="K82" s="283"/>
      <c r="L82" s="250"/>
      <c r="M82" s="250">
        <v>0</v>
      </c>
    </row>
    <row r="83" spans="1:13" ht="16.5" x14ac:dyDescent="0.3">
      <c r="A83" s="148">
        <v>82</v>
      </c>
      <c r="B83" s="148" t="s">
        <v>34</v>
      </c>
      <c r="C83" s="149" t="s">
        <v>222</v>
      </c>
      <c r="D83" s="150">
        <v>1007</v>
      </c>
      <c r="E83" s="150" t="s">
        <v>173</v>
      </c>
      <c r="F83" s="241">
        <v>33.01</v>
      </c>
      <c r="G83" s="241">
        <v>355.31963999999994</v>
      </c>
      <c r="H83" s="242">
        <v>390.85160399999995</v>
      </c>
      <c r="I83" s="244" t="s">
        <v>211</v>
      </c>
      <c r="J83" s="242" t="s">
        <v>266</v>
      </c>
      <c r="K83" s="285"/>
      <c r="L83" s="251"/>
      <c r="M83" s="251">
        <v>0</v>
      </c>
    </row>
    <row r="84" spans="1:13" ht="16.5" x14ac:dyDescent="0.3">
      <c r="A84" s="236">
        <v>83</v>
      </c>
      <c r="B84" s="236" t="s">
        <v>34</v>
      </c>
      <c r="C84" s="237" t="s">
        <v>222</v>
      </c>
      <c r="D84" s="238">
        <v>1008</v>
      </c>
      <c r="E84" s="238" t="s">
        <v>172</v>
      </c>
      <c r="F84" s="239">
        <v>54.17</v>
      </c>
      <c r="G84" s="239">
        <v>583.08587999999997</v>
      </c>
      <c r="H84" s="240">
        <v>641.39446800000007</v>
      </c>
      <c r="I84" s="243" t="s">
        <v>211</v>
      </c>
      <c r="J84" s="240" t="s">
        <v>265</v>
      </c>
      <c r="K84" s="267">
        <v>2093650</v>
      </c>
      <c r="L84" s="286">
        <v>627825</v>
      </c>
      <c r="M84" s="250">
        <v>1465825</v>
      </c>
    </row>
    <row r="85" spans="1:13" ht="16.5" x14ac:dyDescent="0.3">
      <c r="A85" s="148">
        <v>84</v>
      </c>
      <c r="B85" s="148" t="s">
        <v>34</v>
      </c>
      <c r="C85" s="149" t="s">
        <v>222</v>
      </c>
      <c r="D85" s="150">
        <v>1009</v>
      </c>
      <c r="E85" s="150" t="s">
        <v>173</v>
      </c>
      <c r="F85" s="241">
        <v>44.48</v>
      </c>
      <c r="G85" s="241">
        <v>478.78271999999993</v>
      </c>
      <c r="H85" s="242">
        <v>526.66099199999996</v>
      </c>
      <c r="I85" s="244" t="s">
        <v>211</v>
      </c>
      <c r="J85" s="242" t="s">
        <v>266</v>
      </c>
      <c r="K85" s="285"/>
      <c r="L85" s="251"/>
      <c r="M85" s="251">
        <v>0</v>
      </c>
    </row>
    <row r="86" spans="1:13" ht="16.5" x14ac:dyDescent="0.3">
      <c r="A86" s="236">
        <v>85</v>
      </c>
      <c r="B86" s="236" t="s">
        <v>34</v>
      </c>
      <c r="C86" s="237" t="s">
        <v>222</v>
      </c>
      <c r="D86" s="238">
        <v>1010</v>
      </c>
      <c r="E86" s="238" t="s">
        <v>173</v>
      </c>
      <c r="F86" s="239">
        <v>33.01</v>
      </c>
      <c r="G86" s="239">
        <v>355.31963999999994</v>
      </c>
      <c r="H86" s="240">
        <v>390.85160399999995</v>
      </c>
      <c r="I86" s="243" t="s">
        <v>211</v>
      </c>
      <c r="J86" s="240" t="s">
        <v>266</v>
      </c>
      <c r="K86" s="283"/>
      <c r="L86" s="250"/>
      <c r="M86" s="250">
        <v>0</v>
      </c>
    </row>
    <row r="87" spans="1:13" ht="16.5" x14ac:dyDescent="0.3">
      <c r="A87" s="148">
        <v>86</v>
      </c>
      <c r="B87" s="148" t="s">
        <v>34</v>
      </c>
      <c r="C87" s="149" t="s">
        <v>223</v>
      </c>
      <c r="D87" s="150">
        <v>1101</v>
      </c>
      <c r="E87" s="150" t="s">
        <v>172</v>
      </c>
      <c r="F87" s="241">
        <v>44.07</v>
      </c>
      <c r="G87" s="241">
        <v>474.36947999999995</v>
      </c>
      <c r="H87" s="242">
        <v>521.80642799999998</v>
      </c>
      <c r="I87" s="150" t="s">
        <v>211</v>
      </c>
      <c r="J87" s="242" t="s">
        <v>266</v>
      </c>
      <c r="K87" s="285"/>
      <c r="L87" s="251"/>
      <c r="M87" s="251">
        <v>0</v>
      </c>
    </row>
    <row r="88" spans="1:13" ht="16.5" x14ac:dyDescent="0.3">
      <c r="A88" s="236">
        <v>87</v>
      </c>
      <c r="B88" s="236" t="s">
        <v>34</v>
      </c>
      <c r="C88" s="237" t="s">
        <v>223</v>
      </c>
      <c r="D88" s="238">
        <v>1102</v>
      </c>
      <c r="E88" s="238" t="s">
        <v>172</v>
      </c>
      <c r="F88" s="239">
        <v>44.07</v>
      </c>
      <c r="G88" s="239">
        <v>474.36947999999995</v>
      </c>
      <c r="H88" s="240">
        <v>521.80642799999998</v>
      </c>
      <c r="I88" s="238" t="s">
        <v>211</v>
      </c>
      <c r="J88" s="240" t="s">
        <v>266</v>
      </c>
      <c r="K88" s="283"/>
      <c r="L88" s="250"/>
      <c r="M88" s="250">
        <v>0</v>
      </c>
    </row>
    <row r="89" spans="1:13" ht="16.5" x14ac:dyDescent="0.3">
      <c r="A89" s="148">
        <v>88</v>
      </c>
      <c r="B89" s="148" t="s">
        <v>34</v>
      </c>
      <c r="C89" s="149" t="s">
        <v>223</v>
      </c>
      <c r="D89" s="150">
        <v>1106</v>
      </c>
      <c r="E89" s="150" t="s">
        <v>172</v>
      </c>
      <c r="F89" s="241">
        <v>44.13</v>
      </c>
      <c r="G89" s="241">
        <v>475.01531999999997</v>
      </c>
      <c r="H89" s="242">
        <v>522.51685199999997</v>
      </c>
      <c r="I89" s="244" t="s">
        <v>211</v>
      </c>
      <c r="J89" s="242" t="s">
        <v>266</v>
      </c>
      <c r="K89" s="285"/>
      <c r="L89" s="251"/>
      <c r="M89" s="251">
        <v>0</v>
      </c>
    </row>
    <row r="90" spans="1:13" ht="16.5" x14ac:dyDescent="0.3">
      <c r="A90" s="236">
        <v>89</v>
      </c>
      <c r="B90" s="236" t="s">
        <v>34</v>
      </c>
      <c r="C90" s="237" t="s">
        <v>223</v>
      </c>
      <c r="D90" s="238">
        <v>1107</v>
      </c>
      <c r="E90" s="238" t="s">
        <v>173</v>
      </c>
      <c r="F90" s="239">
        <v>33.01</v>
      </c>
      <c r="G90" s="239">
        <v>355.31963999999994</v>
      </c>
      <c r="H90" s="240">
        <v>390.85160399999995</v>
      </c>
      <c r="I90" s="243" t="s">
        <v>211</v>
      </c>
      <c r="J90" s="240" t="s">
        <v>266</v>
      </c>
      <c r="K90" s="283"/>
      <c r="L90" s="250"/>
      <c r="M90" s="250">
        <v>0</v>
      </c>
    </row>
    <row r="91" spans="1:13" ht="16.5" x14ac:dyDescent="0.3">
      <c r="A91" s="148">
        <v>90</v>
      </c>
      <c r="B91" s="150" t="s">
        <v>34</v>
      </c>
      <c r="C91" s="149" t="s">
        <v>223</v>
      </c>
      <c r="D91" s="150">
        <v>1108</v>
      </c>
      <c r="E91" s="150" t="s">
        <v>172</v>
      </c>
      <c r="F91" s="241">
        <v>54.17</v>
      </c>
      <c r="G91" s="241">
        <v>583.08587999999997</v>
      </c>
      <c r="H91" s="242">
        <v>641.39446800000007</v>
      </c>
      <c r="I91" s="244" t="s">
        <v>211</v>
      </c>
      <c r="J91" s="242" t="s">
        <v>265</v>
      </c>
      <c r="K91" s="267">
        <v>1988968</v>
      </c>
      <c r="L91" s="287">
        <v>1000000</v>
      </c>
      <c r="M91" s="251">
        <v>988968</v>
      </c>
    </row>
    <row r="92" spans="1:13" ht="16.5" x14ac:dyDescent="0.3">
      <c r="A92" s="236">
        <v>91</v>
      </c>
      <c r="B92" s="236" t="s">
        <v>34</v>
      </c>
      <c r="C92" s="237" t="s">
        <v>223</v>
      </c>
      <c r="D92" s="238">
        <v>1109</v>
      </c>
      <c r="E92" s="238" t="s">
        <v>173</v>
      </c>
      <c r="F92" s="239">
        <v>44.48</v>
      </c>
      <c r="G92" s="239">
        <v>478.78271999999993</v>
      </c>
      <c r="H92" s="240">
        <v>526.66099199999996</v>
      </c>
      <c r="I92" s="243" t="s">
        <v>211</v>
      </c>
      <c r="J92" s="240" t="s">
        <v>266</v>
      </c>
      <c r="K92" s="283"/>
      <c r="L92" s="250"/>
      <c r="M92" s="250">
        <v>0</v>
      </c>
    </row>
    <row r="93" spans="1:13" ht="16.5" x14ac:dyDescent="0.3">
      <c r="A93" s="148">
        <v>92</v>
      </c>
      <c r="B93" s="148" t="s">
        <v>34</v>
      </c>
      <c r="C93" s="149" t="s">
        <v>223</v>
      </c>
      <c r="D93" s="150">
        <v>1110</v>
      </c>
      <c r="E93" s="150" t="s">
        <v>173</v>
      </c>
      <c r="F93" s="241">
        <v>33.01</v>
      </c>
      <c r="G93" s="241">
        <v>355.31963999999994</v>
      </c>
      <c r="H93" s="242">
        <v>390.85160399999995</v>
      </c>
      <c r="I93" s="244" t="s">
        <v>211</v>
      </c>
      <c r="J93" s="242" t="s">
        <v>266</v>
      </c>
      <c r="K93" s="285"/>
      <c r="L93" s="251"/>
      <c r="M93" s="251">
        <v>0</v>
      </c>
    </row>
    <row r="94" spans="1:13" ht="16.5" x14ac:dyDescent="0.3">
      <c r="A94" s="236">
        <v>93</v>
      </c>
      <c r="B94" s="236" t="s">
        <v>34</v>
      </c>
      <c r="C94" s="237" t="s">
        <v>224</v>
      </c>
      <c r="D94" s="238">
        <v>1201</v>
      </c>
      <c r="E94" s="238" t="s">
        <v>172</v>
      </c>
      <c r="F94" s="239">
        <v>44.07</v>
      </c>
      <c r="G94" s="239">
        <v>474.36947999999995</v>
      </c>
      <c r="H94" s="240">
        <v>521.80642799999998</v>
      </c>
      <c r="I94" s="238" t="s">
        <v>211</v>
      </c>
      <c r="J94" s="240" t="s">
        <v>266</v>
      </c>
      <c r="K94" s="283"/>
      <c r="L94" s="250"/>
      <c r="M94" s="250">
        <v>0</v>
      </c>
    </row>
    <row r="95" spans="1:13" ht="16.5" x14ac:dyDescent="0.3">
      <c r="A95" s="148">
        <v>94</v>
      </c>
      <c r="B95" s="148" t="s">
        <v>34</v>
      </c>
      <c r="C95" s="149" t="s">
        <v>224</v>
      </c>
      <c r="D95" s="150">
        <v>1202</v>
      </c>
      <c r="E95" s="150" t="s">
        <v>172</v>
      </c>
      <c r="F95" s="241">
        <v>44.07</v>
      </c>
      <c r="G95" s="241">
        <v>474.36947999999995</v>
      </c>
      <c r="H95" s="242">
        <v>521.80642799999998</v>
      </c>
      <c r="I95" s="150" t="s">
        <v>211</v>
      </c>
      <c r="J95" s="242" t="s">
        <v>266</v>
      </c>
      <c r="K95" s="285"/>
      <c r="L95" s="251"/>
      <c r="M95" s="251">
        <v>0</v>
      </c>
    </row>
    <row r="96" spans="1:13" ht="16.5" x14ac:dyDescent="0.3">
      <c r="A96" s="236">
        <v>95</v>
      </c>
      <c r="B96" s="236" t="s">
        <v>34</v>
      </c>
      <c r="C96" s="237" t="s">
        <v>224</v>
      </c>
      <c r="D96" s="238">
        <v>1205</v>
      </c>
      <c r="E96" s="238" t="s">
        <v>172</v>
      </c>
      <c r="F96" s="239">
        <v>44.07</v>
      </c>
      <c r="G96" s="239">
        <v>474.36947999999995</v>
      </c>
      <c r="H96" s="240">
        <v>521.80642799999998</v>
      </c>
      <c r="I96" s="243" t="s">
        <v>211</v>
      </c>
      <c r="J96" s="245" t="s">
        <v>265</v>
      </c>
      <c r="K96" s="269">
        <v>2374550</v>
      </c>
      <c r="L96" s="286">
        <v>712365</v>
      </c>
      <c r="M96" s="250">
        <v>1662185</v>
      </c>
    </row>
    <row r="97" spans="1:13" ht="16.5" x14ac:dyDescent="0.3">
      <c r="A97" s="148">
        <v>96</v>
      </c>
      <c r="B97" s="148" t="s">
        <v>34</v>
      </c>
      <c r="C97" s="149" t="s">
        <v>224</v>
      </c>
      <c r="D97" s="150">
        <v>1206</v>
      </c>
      <c r="E97" s="150" t="s">
        <v>172</v>
      </c>
      <c r="F97" s="241">
        <v>44.13</v>
      </c>
      <c r="G97" s="241">
        <v>475.01531999999997</v>
      </c>
      <c r="H97" s="242">
        <v>522.51685199999997</v>
      </c>
      <c r="I97" s="244" t="s">
        <v>211</v>
      </c>
      <c r="J97" s="242" t="s">
        <v>266</v>
      </c>
      <c r="K97" s="285"/>
      <c r="L97" s="251"/>
      <c r="M97" s="251">
        <v>0</v>
      </c>
    </row>
    <row r="98" spans="1:13" ht="16.5" x14ac:dyDescent="0.3">
      <c r="A98" s="236">
        <v>97</v>
      </c>
      <c r="B98" s="238" t="s">
        <v>34</v>
      </c>
      <c r="C98" s="237" t="s">
        <v>224</v>
      </c>
      <c r="D98" s="238">
        <v>1207</v>
      </c>
      <c r="E98" s="238" t="s">
        <v>173</v>
      </c>
      <c r="F98" s="239">
        <v>33.01</v>
      </c>
      <c r="G98" s="239">
        <v>355.31963999999994</v>
      </c>
      <c r="H98" s="240">
        <v>390.85160399999995</v>
      </c>
      <c r="I98" s="243" t="s">
        <v>211</v>
      </c>
      <c r="J98" s="240" t="s">
        <v>266</v>
      </c>
      <c r="K98" s="283"/>
      <c r="L98" s="250"/>
      <c r="M98" s="250">
        <v>0</v>
      </c>
    </row>
    <row r="99" spans="1:13" ht="16.5" x14ac:dyDescent="0.3">
      <c r="A99" s="148">
        <v>98</v>
      </c>
      <c r="B99" s="150" t="s">
        <v>34</v>
      </c>
      <c r="C99" s="149" t="s">
        <v>224</v>
      </c>
      <c r="D99" s="150">
        <v>1209</v>
      </c>
      <c r="E99" s="150" t="s">
        <v>173</v>
      </c>
      <c r="F99" s="241">
        <v>44.48</v>
      </c>
      <c r="G99" s="241">
        <v>478.78271999999993</v>
      </c>
      <c r="H99" s="242">
        <v>526.66099199999996</v>
      </c>
      <c r="I99" s="244" t="s">
        <v>211</v>
      </c>
      <c r="J99" s="242" t="s">
        <v>266</v>
      </c>
      <c r="K99" s="285"/>
      <c r="L99" s="251"/>
      <c r="M99" s="251">
        <v>0</v>
      </c>
    </row>
    <row r="100" spans="1:13" ht="16.5" x14ac:dyDescent="0.3">
      <c r="A100" s="236">
        <v>99</v>
      </c>
      <c r="B100" s="236" t="s">
        <v>34</v>
      </c>
      <c r="C100" s="237" t="s">
        <v>224</v>
      </c>
      <c r="D100" s="238">
        <v>1210</v>
      </c>
      <c r="E100" s="238" t="s">
        <v>173</v>
      </c>
      <c r="F100" s="239">
        <v>33.01</v>
      </c>
      <c r="G100" s="239">
        <v>355.31963999999994</v>
      </c>
      <c r="H100" s="240">
        <v>390.85160399999995</v>
      </c>
      <c r="I100" s="243" t="s">
        <v>211</v>
      </c>
      <c r="J100" s="240" t="s">
        <v>266</v>
      </c>
      <c r="K100" s="283"/>
      <c r="L100" s="250"/>
      <c r="M100" s="250">
        <v>0</v>
      </c>
    </row>
    <row r="101" spans="1:13" ht="16.5" x14ac:dyDescent="0.3">
      <c r="A101" s="148">
        <v>100</v>
      </c>
      <c r="B101" s="148" t="s">
        <v>34</v>
      </c>
      <c r="C101" s="149" t="s">
        <v>225</v>
      </c>
      <c r="D101" s="150">
        <v>1301</v>
      </c>
      <c r="E101" s="150" t="s">
        <v>172</v>
      </c>
      <c r="F101" s="241">
        <v>44.07</v>
      </c>
      <c r="G101" s="241">
        <v>474.36947999999995</v>
      </c>
      <c r="H101" s="242">
        <v>521.80642799999998</v>
      </c>
      <c r="I101" s="150" t="s">
        <v>211</v>
      </c>
      <c r="J101" s="242" t="s">
        <v>266</v>
      </c>
      <c r="K101" s="285"/>
      <c r="L101" s="251"/>
      <c r="M101" s="251">
        <v>0</v>
      </c>
    </row>
    <row r="102" spans="1:13" ht="16.5" x14ac:dyDescent="0.3">
      <c r="A102" s="236">
        <v>101</v>
      </c>
      <c r="B102" s="236" t="s">
        <v>34</v>
      </c>
      <c r="C102" s="237" t="s">
        <v>225</v>
      </c>
      <c r="D102" s="238">
        <v>1304</v>
      </c>
      <c r="E102" s="238" t="s">
        <v>174</v>
      </c>
      <c r="F102" s="239">
        <v>73.91</v>
      </c>
      <c r="G102" s="239">
        <v>795.56723999999997</v>
      </c>
      <c r="H102" s="240">
        <v>875.123964</v>
      </c>
      <c r="I102" s="238" t="s">
        <v>167</v>
      </c>
      <c r="J102" s="240" t="s">
        <v>265</v>
      </c>
      <c r="K102" s="272">
        <v>6771400</v>
      </c>
      <c r="L102" s="273">
        <v>1650000</v>
      </c>
      <c r="M102" s="250">
        <v>5121400</v>
      </c>
    </row>
    <row r="103" spans="1:13" ht="16.5" x14ac:dyDescent="0.3">
      <c r="A103" s="148">
        <v>102</v>
      </c>
      <c r="B103" s="148" t="s">
        <v>34</v>
      </c>
      <c r="C103" s="149" t="s">
        <v>225</v>
      </c>
      <c r="D103" s="150">
        <v>1306</v>
      </c>
      <c r="E103" s="150" t="s">
        <v>172</v>
      </c>
      <c r="F103" s="241">
        <v>44.13</v>
      </c>
      <c r="G103" s="241">
        <v>475.01531999999997</v>
      </c>
      <c r="H103" s="242">
        <v>522.51685199999997</v>
      </c>
      <c r="I103" s="244" t="s">
        <v>211</v>
      </c>
      <c r="J103" s="242" t="s">
        <v>265</v>
      </c>
      <c r="K103" s="267">
        <v>2374550</v>
      </c>
      <c r="L103" s="287">
        <v>712365</v>
      </c>
      <c r="M103" s="251">
        <v>1662185</v>
      </c>
    </row>
    <row r="104" spans="1:13" ht="16.5" x14ac:dyDescent="0.3">
      <c r="A104" s="236">
        <v>103</v>
      </c>
      <c r="B104" s="236" t="s">
        <v>34</v>
      </c>
      <c r="C104" s="237" t="s">
        <v>225</v>
      </c>
      <c r="D104" s="238">
        <v>1307</v>
      </c>
      <c r="E104" s="238" t="s">
        <v>173</v>
      </c>
      <c r="F104" s="239">
        <v>33.01</v>
      </c>
      <c r="G104" s="239">
        <v>355.31963999999994</v>
      </c>
      <c r="H104" s="240">
        <v>390.85160399999995</v>
      </c>
      <c r="I104" s="243" t="s">
        <v>211</v>
      </c>
      <c r="J104" s="240" t="s">
        <v>266</v>
      </c>
      <c r="K104" s="283"/>
      <c r="L104" s="250"/>
      <c r="M104" s="250">
        <v>0</v>
      </c>
    </row>
    <row r="105" spans="1:13" ht="16.5" x14ac:dyDescent="0.3">
      <c r="A105" s="148">
        <v>104</v>
      </c>
      <c r="B105" s="148" t="s">
        <v>34</v>
      </c>
      <c r="C105" s="149" t="s">
        <v>225</v>
      </c>
      <c r="D105" s="150">
        <v>1308</v>
      </c>
      <c r="E105" s="150" t="s">
        <v>172</v>
      </c>
      <c r="F105" s="241">
        <v>54.17</v>
      </c>
      <c r="G105" s="241">
        <v>583.08587999999997</v>
      </c>
      <c r="H105" s="242">
        <v>641.39446800000007</v>
      </c>
      <c r="I105" s="244" t="s">
        <v>211</v>
      </c>
      <c r="J105" s="242" t="s">
        <v>265</v>
      </c>
      <c r="K105" s="267">
        <v>3033000</v>
      </c>
      <c r="L105" s="287">
        <v>3033000</v>
      </c>
      <c r="M105" s="251">
        <v>0</v>
      </c>
    </row>
    <row r="106" spans="1:13" ht="16.5" x14ac:dyDescent="0.3">
      <c r="A106" s="236">
        <v>105</v>
      </c>
      <c r="B106" s="236" t="s">
        <v>34</v>
      </c>
      <c r="C106" s="237" t="s">
        <v>225</v>
      </c>
      <c r="D106" s="238">
        <v>1309</v>
      </c>
      <c r="E106" s="238" t="s">
        <v>173</v>
      </c>
      <c r="F106" s="239">
        <v>44.48</v>
      </c>
      <c r="G106" s="239">
        <v>478.78271999999993</v>
      </c>
      <c r="H106" s="240">
        <v>526.66099199999996</v>
      </c>
      <c r="I106" s="243" t="s">
        <v>211</v>
      </c>
      <c r="J106" s="240" t="s">
        <v>265</v>
      </c>
      <c r="K106" s="267">
        <v>2374550</v>
      </c>
      <c r="L106" s="286">
        <v>712365</v>
      </c>
      <c r="M106" s="250">
        <v>1662185</v>
      </c>
    </row>
    <row r="107" spans="1:13" ht="16.5" x14ac:dyDescent="0.3">
      <c r="A107" s="148">
        <v>106</v>
      </c>
      <c r="B107" s="148" t="s">
        <v>34</v>
      </c>
      <c r="C107" s="149" t="s">
        <v>225</v>
      </c>
      <c r="D107" s="150">
        <v>1310</v>
      </c>
      <c r="E107" s="150" t="s">
        <v>173</v>
      </c>
      <c r="F107" s="241">
        <v>33.01</v>
      </c>
      <c r="G107" s="241">
        <v>355.31963999999994</v>
      </c>
      <c r="H107" s="242">
        <v>390.85160399999995</v>
      </c>
      <c r="I107" s="244" t="s">
        <v>211</v>
      </c>
      <c r="J107" s="242" t="s">
        <v>266</v>
      </c>
      <c r="K107" s="285"/>
      <c r="L107" s="251"/>
      <c r="M107" s="251">
        <v>0</v>
      </c>
    </row>
    <row r="108" spans="1:13" ht="16.5" x14ac:dyDescent="0.3">
      <c r="A108" s="236">
        <v>107</v>
      </c>
      <c r="B108" s="236" t="s">
        <v>34</v>
      </c>
      <c r="C108" s="237" t="s">
        <v>226</v>
      </c>
      <c r="D108" s="238">
        <v>1401</v>
      </c>
      <c r="E108" s="238" t="s">
        <v>172</v>
      </c>
      <c r="F108" s="239">
        <v>44.07</v>
      </c>
      <c r="G108" s="239">
        <v>474.36947999999995</v>
      </c>
      <c r="H108" s="240">
        <v>521.80642799999998</v>
      </c>
      <c r="I108" s="238" t="s">
        <v>211</v>
      </c>
      <c r="J108" s="240" t="s">
        <v>266</v>
      </c>
      <c r="K108" s="283"/>
      <c r="L108" s="250"/>
      <c r="M108" s="250">
        <v>0</v>
      </c>
    </row>
    <row r="109" spans="1:13" ht="16.5" x14ac:dyDescent="0.3">
      <c r="A109" s="148">
        <v>108</v>
      </c>
      <c r="B109" s="148" t="s">
        <v>34</v>
      </c>
      <c r="C109" s="149" t="s">
        <v>226</v>
      </c>
      <c r="D109" s="150">
        <v>1402</v>
      </c>
      <c r="E109" s="150" t="s">
        <v>172</v>
      </c>
      <c r="F109" s="241">
        <v>44.07</v>
      </c>
      <c r="G109" s="241">
        <v>474.36947999999995</v>
      </c>
      <c r="H109" s="242">
        <v>521.80642799999998</v>
      </c>
      <c r="I109" s="150" t="s">
        <v>211</v>
      </c>
      <c r="J109" s="242" t="s">
        <v>266</v>
      </c>
      <c r="K109" s="285"/>
      <c r="L109" s="251"/>
      <c r="M109" s="251">
        <v>0</v>
      </c>
    </row>
    <row r="110" spans="1:13" ht="16.5" x14ac:dyDescent="0.3">
      <c r="A110" s="236">
        <v>109</v>
      </c>
      <c r="B110" s="236" t="s">
        <v>34</v>
      </c>
      <c r="C110" s="237" t="s">
        <v>226</v>
      </c>
      <c r="D110" s="238">
        <v>1403</v>
      </c>
      <c r="E110" s="238" t="s">
        <v>174</v>
      </c>
      <c r="F110" s="239">
        <v>73.91</v>
      </c>
      <c r="G110" s="239">
        <v>795.56723999999997</v>
      </c>
      <c r="H110" s="240">
        <v>875.123964</v>
      </c>
      <c r="I110" s="238" t="s">
        <v>211</v>
      </c>
      <c r="J110" s="240" t="s">
        <v>265</v>
      </c>
      <c r="K110" s="267">
        <v>6771400</v>
      </c>
      <c r="L110" s="286">
        <v>4473375</v>
      </c>
      <c r="M110" s="250">
        <v>2298025</v>
      </c>
    </row>
    <row r="111" spans="1:13" ht="16.5" x14ac:dyDescent="0.3">
      <c r="A111" s="148">
        <v>110</v>
      </c>
      <c r="B111" s="148" t="s">
        <v>34</v>
      </c>
      <c r="C111" s="149" t="s">
        <v>226</v>
      </c>
      <c r="D111" s="150">
        <v>1405</v>
      </c>
      <c r="E111" s="150" t="s">
        <v>172</v>
      </c>
      <c r="F111" s="241">
        <v>44.07</v>
      </c>
      <c r="G111" s="241">
        <v>474.36947999999995</v>
      </c>
      <c r="H111" s="242">
        <v>521.80642799999998</v>
      </c>
      <c r="I111" s="244" t="s">
        <v>211</v>
      </c>
      <c r="J111" s="242" t="s">
        <v>266</v>
      </c>
      <c r="K111" s="285"/>
      <c r="L111" s="251"/>
      <c r="M111" s="251">
        <v>0</v>
      </c>
    </row>
    <row r="112" spans="1:13" ht="16.5" x14ac:dyDescent="0.3">
      <c r="A112" s="236">
        <v>111</v>
      </c>
      <c r="B112" s="236" t="s">
        <v>34</v>
      </c>
      <c r="C112" s="237" t="s">
        <v>226</v>
      </c>
      <c r="D112" s="238">
        <v>1406</v>
      </c>
      <c r="E112" s="238" t="s">
        <v>172</v>
      </c>
      <c r="F112" s="239">
        <v>44.13</v>
      </c>
      <c r="G112" s="239">
        <v>475.01531999999997</v>
      </c>
      <c r="H112" s="240">
        <v>522.51685199999997</v>
      </c>
      <c r="I112" s="243" t="s">
        <v>211</v>
      </c>
      <c r="J112" s="240" t="s">
        <v>266</v>
      </c>
      <c r="K112" s="283"/>
      <c r="L112" s="250"/>
      <c r="M112" s="250">
        <v>0</v>
      </c>
    </row>
    <row r="113" spans="1:13" ht="16.5" x14ac:dyDescent="0.3">
      <c r="A113" s="148">
        <v>112</v>
      </c>
      <c r="B113" s="148" t="s">
        <v>34</v>
      </c>
      <c r="C113" s="149" t="s">
        <v>226</v>
      </c>
      <c r="D113" s="150">
        <v>1407</v>
      </c>
      <c r="E113" s="150" t="s">
        <v>173</v>
      </c>
      <c r="F113" s="241">
        <v>33.01</v>
      </c>
      <c r="G113" s="241">
        <v>355.31963999999994</v>
      </c>
      <c r="H113" s="242">
        <v>390.85160399999995</v>
      </c>
      <c r="I113" s="244" t="s">
        <v>211</v>
      </c>
      <c r="J113" s="242" t="s">
        <v>266</v>
      </c>
      <c r="K113" s="285"/>
      <c r="L113" s="251"/>
      <c r="M113" s="251">
        <v>0</v>
      </c>
    </row>
    <row r="114" spans="1:13" ht="16.5" x14ac:dyDescent="0.3">
      <c r="A114" s="236">
        <v>113</v>
      </c>
      <c r="B114" s="236" t="s">
        <v>34</v>
      </c>
      <c r="C114" s="237" t="s">
        <v>226</v>
      </c>
      <c r="D114" s="238">
        <v>1409</v>
      </c>
      <c r="E114" s="238" t="s">
        <v>173</v>
      </c>
      <c r="F114" s="239">
        <v>44.48</v>
      </c>
      <c r="G114" s="239">
        <v>478.78271999999993</v>
      </c>
      <c r="H114" s="240">
        <v>526.66099199999996</v>
      </c>
      <c r="I114" s="243" t="s">
        <v>211</v>
      </c>
      <c r="J114" s="240" t="s">
        <v>266</v>
      </c>
      <c r="K114" s="283"/>
      <c r="L114" s="250"/>
      <c r="M114" s="250">
        <v>0</v>
      </c>
    </row>
    <row r="115" spans="1:13" ht="16.5" x14ac:dyDescent="0.3">
      <c r="A115" s="148">
        <v>114</v>
      </c>
      <c r="B115" s="148" t="s">
        <v>34</v>
      </c>
      <c r="C115" s="149" t="s">
        <v>226</v>
      </c>
      <c r="D115" s="150">
        <v>1410</v>
      </c>
      <c r="E115" s="150" t="s">
        <v>173</v>
      </c>
      <c r="F115" s="241">
        <v>33.01</v>
      </c>
      <c r="G115" s="241">
        <v>355.31963999999994</v>
      </c>
      <c r="H115" s="242">
        <v>390.85160399999995</v>
      </c>
      <c r="I115" s="244" t="s">
        <v>211</v>
      </c>
      <c r="J115" s="242" t="s">
        <v>266</v>
      </c>
      <c r="K115" s="285"/>
      <c r="L115" s="251"/>
      <c r="M115" s="251">
        <v>0</v>
      </c>
    </row>
    <row r="116" spans="1:13" ht="16.5" x14ac:dyDescent="0.3">
      <c r="A116" s="236">
        <v>115</v>
      </c>
      <c r="B116" s="236" t="s">
        <v>34</v>
      </c>
      <c r="C116" s="237" t="s">
        <v>227</v>
      </c>
      <c r="D116" s="238">
        <v>1501</v>
      </c>
      <c r="E116" s="238" t="s">
        <v>172</v>
      </c>
      <c r="F116" s="239">
        <v>44.07</v>
      </c>
      <c r="G116" s="239">
        <v>474.36947999999995</v>
      </c>
      <c r="H116" s="240">
        <v>521.80642799999998</v>
      </c>
      <c r="I116" s="243" t="s">
        <v>211</v>
      </c>
      <c r="J116" s="240" t="s">
        <v>266</v>
      </c>
      <c r="K116" s="283"/>
      <c r="L116" s="250"/>
      <c r="M116" s="250">
        <v>0</v>
      </c>
    </row>
    <row r="117" spans="1:13" ht="16.5" x14ac:dyDescent="0.3">
      <c r="A117" s="148">
        <v>116</v>
      </c>
      <c r="B117" s="148" t="s">
        <v>34</v>
      </c>
      <c r="C117" s="149" t="s">
        <v>227</v>
      </c>
      <c r="D117" s="150">
        <v>1502</v>
      </c>
      <c r="E117" s="150" t="s">
        <v>172</v>
      </c>
      <c r="F117" s="241">
        <v>44.07</v>
      </c>
      <c r="G117" s="241">
        <v>474.36947999999995</v>
      </c>
      <c r="H117" s="242">
        <v>521.80642799999998</v>
      </c>
      <c r="I117" s="244" t="s">
        <v>211</v>
      </c>
      <c r="J117" s="242" t="s">
        <v>266</v>
      </c>
      <c r="K117" s="285"/>
      <c r="L117" s="251"/>
      <c r="M117" s="251">
        <v>0</v>
      </c>
    </row>
    <row r="118" spans="1:13" ht="16.5" x14ac:dyDescent="0.3">
      <c r="A118" s="236">
        <v>117</v>
      </c>
      <c r="B118" s="236" t="s">
        <v>34</v>
      </c>
      <c r="C118" s="237" t="s">
        <v>227</v>
      </c>
      <c r="D118" s="238">
        <v>1505</v>
      </c>
      <c r="E118" s="238" t="s">
        <v>172</v>
      </c>
      <c r="F118" s="239">
        <v>44.07</v>
      </c>
      <c r="G118" s="239">
        <v>474.36947999999995</v>
      </c>
      <c r="H118" s="240">
        <v>521.80642799999998</v>
      </c>
      <c r="I118" s="243" t="s">
        <v>211</v>
      </c>
      <c r="J118" s="245" t="s">
        <v>266</v>
      </c>
      <c r="K118" s="290"/>
      <c r="L118" s="250"/>
      <c r="M118" s="250">
        <v>0</v>
      </c>
    </row>
    <row r="119" spans="1:13" ht="16.5" x14ac:dyDescent="0.3">
      <c r="A119" s="148">
        <v>118</v>
      </c>
      <c r="B119" s="148" t="s">
        <v>34</v>
      </c>
      <c r="C119" s="149" t="s">
        <v>227</v>
      </c>
      <c r="D119" s="150">
        <v>1506</v>
      </c>
      <c r="E119" s="150" t="s">
        <v>172</v>
      </c>
      <c r="F119" s="241">
        <v>44.13</v>
      </c>
      <c r="G119" s="241">
        <v>475.01531999999997</v>
      </c>
      <c r="H119" s="242">
        <v>522.51685199999997</v>
      </c>
      <c r="I119" s="244" t="s">
        <v>211</v>
      </c>
      <c r="J119" s="242" t="s">
        <v>266</v>
      </c>
      <c r="K119" s="285"/>
      <c r="L119" s="251"/>
      <c r="M119" s="251">
        <v>0</v>
      </c>
    </row>
    <row r="120" spans="1:13" ht="16.5" x14ac:dyDescent="0.3">
      <c r="A120" s="236">
        <v>119</v>
      </c>
      <c r="B120" s="238" t="s">
        <v>34</v>
      </c>
      <c r="C120" s="237" t="s">
        <v>227</v>
      </c>
      <c r="D120" s="238">
        <v>1507</v>
      </c>
      <c r="E120" s="238" t="s">
        <v>173</v>
      </c>
      <c r="F120" s="239">
        <v>33.01</v>
      </c>
      <c r="G120" s="239">
        <v>355.31963999999994</v>
      </c>
      <c r="H120" s="240">
        <v>390.85160399999995</v>
      </c>
      <c r="I120" s="243" t="s">
        <v>211</v>
      </c>
      <c r="J120" s="240" t="s">
        <v>266</v>
      </c>
      <c r="K120" s="283"/>
      <c r="L120" s="250"/>
      <c r="M120" s="250">
        <v>0</v>
      </c>
    </row>
    <row r="121" spans="1:13" ht="16.5" x14ac:dyDescent="0.3">
      <c r="A121" s="148">
        <v>120</v>
      </c>
      <c r="B121" s="150" t="s">
        <v>34</v>
      </c>
      <c r="C121" s="149" t="s">
        <v>227</v>
      </c>
      <c r="D121" s="150">
        <v>1508</v>
      </c>
      <c r="E121" s="150" t="s">
        <v>172</v>
      </c>
      <c r="F121" s="241">
        <v>54.17</v>
      </c>
      <c r="G121" s="241">
        <v>583.08587999999997</v>
      </c>
      <c r="H121" s="242">
        <v>641.39446800000007</v>
      </c>
      <c r="I121" s="244" t="s">
        <v>211</v>
      </c>
      <c r="J121" s="242" t="s">
        <v>265</v>
      </c>
      <c r="K121" s="267">
        <v>2521800</v>
      </c>
      <c r="L121" s="287">
        <v>627150</v>
      </c>
      <c r="M121" s="251">
        <v>1894650</v>
      </c>
    </row>
    <row r="122" spans="1:13" ht="16.5" x14ac:dyDescent="0.3">
      <c r="A122" s="236">
        <v>121</v>
      </c>
      <c r="B122" s="236" t="s">
        <v>34</v>
      </c>
      <c r="C122" s="237" t="s">
        <v>227</v>
      </c>
      <c r="D122" s="238">
        <v>1509</v>
      </c>
      <c r="E122" s="238" t="s">
        <v>172</v>
      </c>
      <c r="F122" s="239">
        <v>44.48</v>
      </c>
      <c r="G122" s="239">
        <v>478.78271999999993</v>
      </c>
      <c r="H122" s="240">
        <v>526.66099199999996</v>
      </c>
      <c r="I122" s="243" t="s">
        <v>211</v>
      </c>
      <c r="J122" s="240" t="s">
        <v>266</v>
      </c>
      <c r="K122" s="283"/>
      <c r="L122" s="250"/>
      <c r="M122" s="250">
        <v>0</v>
      </c>
    </row>
    <row r="123" spans="1:13" ht="16.5" x14ac:dyDescent="0.3">
      <c r="A123" s="148">
        <v>122</v>
      </c>
      <c r="B123" s="148" t="s">
        <v>34</v>
      </c>
      <c r="C123" s="149" t="s">
        <v>227</v>
      </c>
      <c r="D123" s="150">
        <v>1510</v>
      </c>
      <c r="E123" s="150" t="s">
        <v>173</v>
      </c>
      <c r="F123" s="241">
        <v>33.01</v>
      </c>
      <c r="G123" s="241">
        <v>355.31963999999994</v>
      </c>
      <c r="H123" s="242">
        <v>390.85160399999995</v>
      </c>
      <c r="I123" s="244" t="s">
        <v>211</v>
      </c>
      <c r="J123" s="242" t="s">
        <v>266</v>
      </c>
      <c r="K123" s="285"/>
      <c r="L123" s="251"/>
      <c r="M123" s="251">
        <v>0</v>
      </c>
    </row>
    <row r="124" spans="1:13" ht="16.5" x14ac:dyDescent="0.3">
      <c r="A124" s="236">
        <v>123</v>
      </c>
      <c r="B124" s="236" t="s">
        <v>34</v>
      </c>
      <c r="C124" s="237" t="s">
        <v>228</v>
      </c>
      <c r="D124" s="238">
        <v>1601</v>
      </c>
      <c r="E124" s="238" t="s">
        <v>172</v>
      </c>
      <c r="F124" s="239">
        <v>44.07</v>
      </c>
      <c r="G124" s="239">
        <v>474.36947999999995</v>
      </c>
      <c r="H124" s="240">
        <v>521.80642799999998</v>
      </c>
      <c r="I124" s="238" t="s">
        <v>211</v>
      </c>
      <c r="J124" s="240" t="s">
        <v>266</v>
      </c>
      <c r="K124" s="283"/>
      <c r="L124" s="250"/>
      <c r="M124" s="250">
        <v>0</v>
      </c>
    </row>
    <row r="125" spans="1:13" ht="16.5" x14ac:dyDescent="0.3">
      <c r="A125" s="148">
        <v>124</v>
      </c>
      <c r="B125" s="148" t="s">
        <v>34</v>
      </c>
      <c r="C125" s="149" t="s">
        <v>228</v>
      </c>
      <c r="D125" s="150">
        <v>1602</v>
      </c>
      <c r="E125" s="150" t="s">
        <v>172</v>
      </c>
      <c r="F125" s="241">
        <v>44.07</v>
      </c>
      <c r="G125" s="241">
        <v>474.36947999999995</v>
      </c>
      <c r="H125" s="242">
        <v>521.80642799999998</v>
      </c>
      <c r="I125" s="150" t="s">
        <v>211</v>
      </c>
      <c r="J125" s="242" t="s">
        <v>266</v>
      </c>
      <c r="K125" s="285"/>
      <c r="L125" s="251"/>
      <c r="M125" s="251">
        <v>0</v>
      </c>
    </row>
    <row r="126" spans="1:13" ht="16.5" x14ac:dyDescent="0.3">
      <c r="A126" s="236">
        <v>125</v>
      </c>
      <c r="B126" s="236" t="s">
        <v>34</v>
      </c>
      <c r="C126" s="237" t="s">
        <v>228</v>
      </c>
      <c r="D126" s="238">
        <v>1605</v>
      </c>
      <c r="E126" s="238" t="s">
        <v>172</v>
      </c>
      <c r="F126" s="239">
        <v>44.07</v>
      </c>
      <c r="G126" s="239">
        <v>474.36947999999995</v>
      </c>
      <c r="H126" s="240">
        <v>521.80642799999998</v>
      </c>
      <c r="I126" s="243" t="s">
        <v>211</v>
      </c>
      <c r="J126" s="245" t="s">
        <v>266</v>
      </c>
      <c r="K126" s="290"/>
      <c r="L126" s="250"/>
      <c r="M126" s="250">
        <v>0</v>
      </c>
    </row>
    <row r="127" spans="1:13" ht="16.5" x14ac:dyDescent="0.3">
      <c r="A127" s="148">
        <v>126</v>
      </c>
      <c r="B127" s="148" t="s">
        <v>34</v>
      </c>
      <c r="C127" s="149" t="s">
        <v>228</v>
      </c>
      <c r="D127" s="150">
        <v>1606</v>
      </c>
      <c r="E127" s="150" t="s">
        <v>172</v>
      </c>
      <c r="F127" s="241">
        <v>44.13</v>
      </c>
      <c r="G127" s="241">
        <v>475.01531999999997</v>
      </c>
      <c r="H127" s="242">
        <v>522.51685199999997</v>
      </c>
      <c r="I127" s="244" t="s">
        <v>211</v>
      </c>
      <c r="J127" s="242" t="s">
        <v>266</v>
      </c>
      <c r="K127" s="285"/>
      <c r="L127" s="251"/>
      <c r="M127" s="251">
        <v>0</v>
      </c>
    </row>
    <row r="128" spans="1:13" ht="16.5" x14ac:dyDescent="0.3">
      <c r="A128" s="236">
        <v>127</v>
      </c>
      <c r="B128" s="236" t="s">
        <v>34</v>
      </c>
      <c r="C128" s="237" t="s">
        <v>228</v>
      </c>
      <c r="D128" s="238">
        <v>1607</v>
      </c>
      <c r="E128" s="238" t="s">
        <v>173</v>
      </c>
      <c r="F128" s="239">
        <v>33.01</v>
      </c>
      <c r="G128" s="239">
        <v>355.31963999999994</v>
      </c>
      <c r="H128" s="240">
        <v>390.85160399999995</v>
      </c>
      <c r="I128" s="243" t="s">
        <v>211</v>
      </c>
      <c r="J128" s="240" t="s">
        <v>266</v>
      </c>
      <c r="K128" s="283"/>
      <c r="L128" s="250"/>
      <c r="M128" s="250">
        <v>0</v>
      </c>
    </row>
    <row r="129" spans="1:13" ht="16.5" x14ac:dyDescent="0.3">
      <c r="A129" s="148">
        <v>128</v>
      </c>
      <c r="B129" s="148" t="s">
        <v>34</v>
      </c>
      <c r="C129" s="149" t="s">
        <v>228</v>
      </c>
      <c r="D129" s="150">
        <v>1609</v>
      </c>
      <c r="E129" s="150" t="s">
        <v>173</v>
      </c>
      <c r="F129" s="241">
        <v>44.48</v>
      </c>
      <c r="G129" s="241">
        <v>478.78271999999993</v>
      </c>
      <c r="H129" s="242">
        <v>526.66099199999996</v>
      </c>
      <c r="I129" s="244" t="s">
        <v>211</v>
      </c>
      <c r="J129" s="242" t="s">
        <v>265</v>
      </c>
      <c r="K129" s="267">
        <v>2374550</v>
      </c>
      <c r="L129" s="287">
        <v>712365</v>
      </c>
      <c r="M129" s="251">
        <v>1662185</v>
      </c>
    </row>
    <row r="130" spans="1:13" ht="16.5" x14ac:dyDescent="0.3">
      <c r="A130" s="236">
        <v>129</v>
      </c>
      <c r="B130" s="236" t="s">
        <v>34</v>
      </c>
      <c r="C130" s="237" t="s">
        <v>228</v>
      </c>
      <c r="D130" s="238">
        <v>1610</v>
      </c>
      <c r="E130" s="238" t="s">
        <v>173</v>
      </c>
      <c r="F130" s="239">
        <v>33.01</v>
      </c>
      <c r="G130" s="239">
        <v>355.31963999999994</v>
      </c>
      <c r="H130" s="240">
        <v>390.85160399999995</v>
      </c>
      <c r="I130" s="243" t="s">
        <v>211</v>
      </c>
      <c r="J130" s="240" t="s">
        <v>266</v>
      </c>
      <c r="K130" s="283"/>
      <c r="L130" s="250"/>
      <c r="M130" s="250">
        <v>0</v>
      </c>
    </row>
    <row r="131" spans="1:13" ht="16.5" x14ac:dyDescent="0.3">
      <c r="A131" s="148">
        <v>130</v>
      </c>
      <c r="B131" s="148" t="s">
        <v>34</v>
      </c>
      <c r="C131" s="149" t="s">
        <v>229</v>
      </c>
      <c r="D131" s="150">
        <v>1701</v>
      </c>
      <c r="E131" s="150" t="s">
        <v>172</v>
      </c>
      <c r="F131" s="241">
        <v>44.07</v>
      </c>
      <c r="G131" s="241">
        <v>474.36947999999995</v>
      </c>
      <c r="H131" s="242">
        <v>521.80642799999998</v>
      </c>
      <c r="I131" s="244" t="s">
        <v>211</v>
      </c>
      <c r="J131" s="242" t="s">
        <v>266</v>
      </c>
      <c r="K131" s="285"/>
      <c r="L131" s="251"/>
      <c r="M131" s="251">
        <v>0</v>
      </c>
    </row>
    <row r="132" spans="1:13" ht="16.5" x14ac:dyDescent="0.3">
      <c r="A132" s="236">
        <v>131</v>
      </c>
      <c r="B132" s="236" t="s">
        <v>34</v>
      </c>
      <c r="C132" s="237" t="s">
        <v>229</v>
      </c>
      <c r="D132" s="238">
        <v>1702</v>
      </c>
      <c r="E132" s="238" t="s">
        <v>172</v>
      </c>
      <c r="F132" s="239">
        <v>44.07</v>
      </c>
      <c r="G132" s="239">
        <v>474.36947999999995</v>
      </c>
      <c r="H132" s="240">
        <v>521.80642799999998</v>
      </c>
      <c r="I132" s="243" t="s">
        <v>211</v>
      </c>
      <c r="J132" s="240" t="s">
        <v>266</v>
      </c>
      <c r="K132" s="283"/>
      <c r="L132" s="250"/>
      <c r="M132" s="250">
        <v>0</v>
      </c>
    </row>
    <row r="133" spans="1:13" ht="16.5" x14ac:dyDescent="0.3">
      <c r="A133" s="148">
        <v>132</v>
      </c>
      <c r="B133" s="148" t="s">
        <v>34</v>
      </c>
      <c r="C133" s="149" t="s">
        <v>229</v>
      </c>
      <c r="D133" s="150">
        <v>1705</v>
      </c>
      <c r="E133" s="150" t="s">
        <v>172</v>
      </c>
      <c r="F133" s="241">
        <v>44.07</v>
      </c>
      <c r="G133" s="241">
        <v>474.36947999999995</v>
      </c>
      <c r="H133" s="242">
        <v>521.80642799999998</v>
      </c>
      <c r="I133" s="244" t="s">
        <v>211</v>
      </c>
      <c r="J133" s="242" t="s">
        <v>266</v>
      </c>
      <c r="K133" s="285"/>
      <c r="L133" s="251"/>
      <c r="M133" s="251">
        <v>0</v>
      </c>
    </row>
    <row r="134" spans="1:13" ht="16.5" x14ac:dyDescent="0.3">
      <c r="A134" s="236">
        <v>133</v>
      </c>
      <c r="B134" s="236" t="s">
        <v>34</v>
      </c>
      <c r="C134" s="237" t="s">
        <v>229</v>
      </c>
      <c r="D134" s="238">
        <v>1706</v>
      </c>
      <c r="E134" s="238" t="s">
        <v>172</v>
      </c>
      <c r="F134" s="239">
        <v>44.13</v>
      </c>
      <c r="G134" s="239">
        <v>475.01531999999997</v>
      </c>
      <c r="H134" s="240">
        <v>522.51685199999997</v>
      </c>
      <c r="I134" s="243" t="s">
        <v>211</v>
      </c>
      <c r="J134" s="240" t="s">
        <v>266</v>
      </c>
      <c r="K134" s="283"/>
      <c r="L134" s="250"/>
      <c r="M134" s="250">
        <v>0</v>
      </c>
    </row>
    <row r="135" spans="1:13" ht="16.5" x14ac:dyDescent="0.3">
      <c r="A135" s="148">
        <v>134</v>
      </c>
      <c r="B135" s="148" t="s">
        <v>34</v>
      </c>
      <c r="C135" s="149" t="s">
        <v>229</v>
      </c>
      <c r="D135" s="150">
        <v>1707</v>
      </c>
      <c r="E135" s="150" t="s">
        <v>173</v>
      </c>
      <c r="F135" s="241">
        <v>33.01</v>
      </c>
      <c r="G135" s="241">
        <v>355.31963999999994</v>
      </c>
      <c r="H135" s="242">
        <v>390.85160399999995</v>
      </c>
      <c r="I135" s="244" t="s">
        <v>211</v>
      </c>
      <c r="J135" s="242" t="s">
        <v>266</v>
      </c>
      <c r="K135" s="285"/>
      <c r="L135" s="251"/>
      <c r="M135" s="251">
        <v>0</v>
      </c>
    </row>
    <row r="136" spans="1:13" ht="16.5" x14ac:dyDescent="0.3">
      <c r="A136" s="236">
        <v>135</v>
      </c>
      <c r="B136" s="236" t="s">
        <v>34</v>
      </c>
      <c r="C136" s="237" t="s">
        <v>229</v>
      </c>
      <c r="D136" s="238">
        <v>1709</v>
      </c>
      <c r="E136" s="238" t="s">
        <v>172</v>
      </c>
      <c r="F136" s="239">
        <v>54.05</v>
      </c>
      <c r="G136" s="239">
        <v>581.79419999999993</v>
      </c>
      <c r="H136" s="240">
        <v>639.97361999999998</v>
      </c>
      <c r="I136" s="243" t="s">
        <v>211</v>
      </c>
      <c r="J136" s="240" t="s">
        <v>265</v>
      </c>
      <c r="K136" s="267">
        <v>2093650</v>
      </c>
      <c r="L136" s="286">
        <v>628095</v>
      </c>
      <c r="M136" s="250">
        <v>1465555</v>
      </c>
    </row>
    <row r="137" spans="1:13" ht="16.5" x14ac:dyDescent="0.3">
      <c r="A137" s="148">
        <v>136</v>
      </c>
      <c r="B137" s="148" t="s">
        <v>34</v>
      </c>
      <c r="C137" s="149" t="s">
        <v>229</v>
      </c>
      <c r="D137" s="150">
        <v>1710</v>
      </c>
      <c r="E137" s="150" t="s">
        <v>173</v>
      </c>
      <c r="F137" s="241">
        <v>33.01</v>
      </c>
      <c r="G137" s="241">
        <v>355.31963999999994</v>
      </c>
      <c r="H137" s="242">
        <v>390.85160399999995</v>
      </c>
      <c r="I137" s="244" t="s">
        <v>211</v>
      </c>
      <c r="J137" s="242" t="s">
        <v>265</v>
      </c>
      <c r="K137" s="267">
        <v>37000</v>
      </c>
      <c r="L137" s="287">
        <v>27750</v>
      </c>
      <c r="M137" s="251">
        <v>9250</v>
      </c>
    </row>
    <row r="138" spans="1:13" ht="16.5" x14ac:dyDescent="0.3">
      <c r="A138" s="236">
        <v>137</v>
      </c>
      <c r="B138" s="236" t="s">
        <v>34</v>
      </c>
      <c r="C138" s="237" t="s">
        <v>230</v>
      </c>
      <c r="D138" s="238">
        <v>1801</v>
      </c>
      <c r="E138" s="238" t="s">
        <v>172</v>
      </c>
      <c r="F138" s="239">
        <v>44.07</v>
      </c>
      <c r="G138" s="239">
        <v>474.36947999999995</v>
      </c>
      <c r="H138" s="240">
        <v>521.80642799999998</v>
      </c>
      <c r="I138" s="243" t="s">
        <v>211</v>
      </c>
      <c r="J138" s="240" t="s">
        <v>266</v>
      </c>
      <c r="K138" s="283"/>
      <c r="L138" s="250"/>
      <c r="M138" s="250">
        <v>0</v>
      </c>
    </row>
    <row r="139" spans="1:13" ht="16.5" x14ac:dyDescent="0.3">
      <c r="A139" s="148">
        <v>138</v>
      </c>
      <c r="B139" s="148" t="s">
        <v>34</v>
      </c>
      <c r="C139" s="149" t="s">
        <v>230</v>
      </c>
      <c r="D139" s="150">
        <v>1802</v>
      </c>
      <c r="E139" s="150" t="s">
        <v>172</v>
      </c>
      <c r="F139" s="241">
        <v>44.07</v>
      </c>
      <c r="G139" s="241">
        <v>474.36947999999995</v>
      </c>
      <c r="H139" s="242">
        <v>521.80642799999998</v>
      </c>
      <c r="I139" s="244" t="s">
        <v>211</v>
      </c>
      <c r="J139" s="242" t="s">
        <v>266</v>
      </c>
      <c r="K139" s="285"/>
      <c r="L139" s="251"/>
      <c r="M139" s="251">
        <v>0</v>
      </c>
    </row>
    <row r="140" spans="1:13" ht="16.5" x14ac:dyDescent="0.3">
      <c r="A140" s="236">
        <v>139</v>
      </c>
      <c r="B140" s="236" t="s">
        <v>34</v>
      </c>
      <c r="C140" s="237" t="s">
        <v>230</v>
      </c>
      <c r="D140" s="238">
        <v>1803</v>
      </c>
      <c r="E140" s="238" t="s">
        <v>174</v>
      </c>
      <c r="F140" s="239">
        <v>73.91</v>
      </c>
      <c r="G140" s="239">
        <v>795.56723999999997</v>
      </c>
      <c r="H140" s="240">
        <v>875.123964</v>
      </c>
      <c r="I140" s="243" t="s">
        <v>167</v>
      </c>
      <c r="J140" s="240" t="s">
        <v>265</v>
      </c>
      <c r="K140" s="272">
        <v>1443000</v>
      </c>
      <c r="L140" s="273">
        <v>432900</v>
      </c>
      <c r="M140" s="250">
        <v>1010100</v>
      </c>
    </row>
    <row r="141" spans="1:13" ht="16.5" x14ac:dyDescent="0.3">
      <c r="A141" s="148">
        <v>140</v>
      </c>
      <c r="B141" s="148" t="s">
        <v>34</v>
      </c>
      <c r="C141" s="149" t="s">
        <v>230</v>
      </c>
      <c r="D141" s="150">
        <v>1805</v>
      </c>
      <c r="E141" s="150" t="s">
        <v>172</v>
      </c>
      <c r="F141" s="241">
        <v>44.07</v>
      </c>
      <c r="G141" s="241">
        <v>474.36947999999995</v>
      </c>
      <c r="H141" s="242">
        <v>521.80642799999998</v>
      </c>
      <c r="I141" s="244" t="s">
        <v>211</v>
      </c>
      <c r="J141" s="242" t="s">
        <v>266</v>
      </c>
      <c r="K141" s="285"/>
      <c r="L141" s="251"/>
      <c r="M141" s="251">
        <v>0</v>
      </c>
    </row>
    <row r="142" spans="1:13" ht="16.5" x14ac:dyDescent="0.3">
      <c r="A142" s="236">
        <v>141</v>
      </c>
      <c r="B142" s="236" t="s">
        <v>34</v>
      </c>
      <c r="C142" s="237" t="s">
        <v>230</v>
      </c>
      <c r="D142" s="238">
        <v>1806</v>
      </c>
      <c r="E142" s="238" t="s">
        <v>172</v>
      </c>
      <c r="F142" s="239">
        <v>44.13</v>
      </c>
      <c r="G142" s="239">
        <v>475.01531999999997</v>
      </c>
      <c r="H142" s="240">
        <v>522.51685199999997</v>
      </c>
      <c r="I142" s="243" t="s">
        <v>211</v>
      </c>
      <c r="J142" s="240" t="s">
        <v>266</v>
      </c>
      <c r="K142" s="283"/>
      <c r="L142" s="250"/>
      <c r="M142" s="250">
        <v>0</v>
      </c>
    </row>
    <row r="143" spans="1:13" ht="16.5" x14ac:dyDescent="0.3">
      <c r="A143" s="148">
        <v>142</v>
      </c>
      <c r="B143" s="148" t="s">
        <v>34</v>
      </c>
      <c r="C143" s="149" t="s">
        <v>230</v>
      </c>
      <c r="D143" s="150">
        <v>1807</v>
      </c>
      <c r="E143" s="150" t="s">
        <v>173</v>
      </c>
      <c r="F143" s="241">
        <v>33.01</v>
      </c>
      <c r="G143" s="241">
        <v>355.31963999999994</v>
      </c>
      <c r="H143" s="242">
        <v>390.85160399999995</v>
      </c>
      <c r="I143" s="244" t="s">
        <v>211</v>
      </c>
      <c r="J143" s="242" t="s">
        <v>266</v>
      </c>
      <c r="K143" s="285"/>
      <c r="L143" s="251"/>
      <c r="M143" s="251">
        <v>0</v>
      </c>
    </row>
    <row r="144" spans="1:13" ht="16.5" x14ac:dyDescent="0.3">
      <c r="A144" s="236">
        <v>143</v>
      </c>
      <c r="B144" s="236" t="s">
        <v>34</v>
      </c>
      <c r="C144" s="237" t="s">
        <v>230</v>
      </c>
      <c r="D144" s="238">
        <v>1810</v>
      </c>
      <c r="E144" s="238" t="s">
        <v>173</v>
      </c>
      <c r="F144" s="239">
        <v>33.01</v>
      </c>
      <c r="G144" s="239">
        <v>355.31963999999994</v>
      </c>
      <c r="H144" s="240">
        <v>390.85160399999995</v>
      </c>
      <c r="I144" s="243" t="s">
        <v>211</v>
      </c>
      <c r="J144" s="240" t="s">
        <v>266</v>
      </c>
      <c r="K144" s="283"/>
      <c r="L144" s="250"/>
      <c r="M144" s="250">
        <v>0</v>
      </c>
    </row>
    <row r="145" spans="1:13" ht="16.5" x14ac:dyDescent="0.3">
      <c r="A145" s="148">
        <v>144</v>
      </c>
      <c r="B145" s="148" t="s">
        <v>34</v>
      </c>
      <c r="C145" s="149" t="s">
        <v>231</v>
      </c>
      <c r="D145" s="150">
        <v>1901</v>
      </c>
      <c r="E145" s="150" t="s">
        <v>172</v>
      </c>
      <c r="F145" s="241">
        <v>44.07</v>
      </c>
      <c r="G145" s="241">
        <v>474.36947999999995</v>
      </c>
      <c r="H145" s="242">
        <v>521.80642799999998</v>
      </c>
      <c r="I145" s="244" t="s">
        <v>211</v>
      </c>
      <c r="J145" s="242" t="s">
        <v>266</v>
      </c>
      <c r="K145" s="285"/>
      <c r="L145" s="251"/>
      <c r="M145" s="251">
        <v>0</v>
      </c>
    </row>
    <row r="146" spans="1:13" ht="16.5" x14ac:dyDescent="0.3">
      <c r="A146" s="236">
        <v>145</v>
      </c>
      <c r="B146" s="236" t="s">
        <v>34</v>
      </c>
      <c r="C146" s="237" t="s">
        <v>231</v>
      </c>
      <c r="D146" s="238">
        <v>1902</v>
      </c>
      <c r="E146" s="238" t="s">
        <v>172</v>
      </c>
      <c r="F146" s="239">
        <v>44.07</v>
      </c>
      <c r="G146" s="239">
        <v>474.36947999999995</v>
      </c>
      <c r="H146" s="240">
        <v>521.80642799999998</v>
      </c>
      <c r="I146" s="243" t="s">
        <v>211</v>
      </c>
      <c r="J146" s="240" t="s">
        <v>266</v>
      </c>
      <c r="K146" s="283"/>
      <c r="L146" s="250"/>
      <c r="M146" s="250">
        <v>0</v>
      </c>
    </row>
    <row r="147" spans="1:13" ht="16.5" x14ac:dyDescent="0.3">
      <c r="A147" s="148">
        <v>146</v>
      </c>
      <c r="B147" s="148" t="s">
        <v>34</v>
      </c>
      <c r="C147" s="149" t="s">
        <v>231</v>
      </c>
      <c r="D147" s="150">
        <v>1905</v>
      </c>
      <c r="E147" s="150" t="s">
        <v>172</v>
      </c>
      <c r="F147" s="241">
        <v>44.07</v>
      </c>
      <c r="G147" s="241">
        <v>474.36947999999995</v>
      </c>
      <c r="H147" s="242">
        <v>521.80642799999998</v>
      </c>
      <c r="I147" s="244" t="s">
        <v>211</v>
      </c>
      <c r="J147" s="242" t="s">
        <v>266</v>
      </c>
      <c r="K147" s="285"/>
      <c r="L147" s="251"/>
      <c r="M147" s="251">
        <v>0</v>
      </c>
    </row>
    <row r="148" spans="1:13" ht="16.5" x14ac:dyDescent="0.3">
      <c r="A148" s="236">
        <v>147</v>
      </c>
      <c r="B148" s="236" t="s">
        <v>34</v>
      </c>
      <c r="C148" s="237" t="s">
        <v>231</v>
      </c>
      <c r="D148" s="238">
        <v>1906</v>
      </c>
      <c r="E148" s="238" t="s">
        <v>172</v>
      </c>
      <c r="F148" s="239">
        <v>44.13</v>
      </c>
      <c r="G148" s="239">
        <v>475.01531999999997</v>
      </c>
      <c r="H148" s="240">
        <v>522.51685199999997</v>
      </c>
      <c r="I148" s="243" t="s">
        <v>211</v>
      </c>
      <c r="J148" s="240" t="s">
        <v>266</v>
      </c>
      <c r="K148" s="283"/>
      <c r="L148" s="250"/>
      <c r="M148" s="250">
        <v>0</v>
      </c>
    </row>
    <row r="149" spans="1:13" ht="16.5" x14ac:dyDescent="0.3">
      <c r="A149" s="148">
        <v>148</v>
      </c>
      <c r="B149" s="148" t="s">
        <v>34</v>
      </c>
      <c r="C149" s="149" t="s">
        <v>231</v>
      </c>
      <c r="D149" s="150">
        <v>1907</v>
      </c>
      <c r="E149" s="150" t="s">
        <v>173</v>
      </c>
      <c r="F149" s="241">
        <v>33.01</v>
      </c>
      <c r="G149" s="241">
        <v>355.31963999999994</v>
      </c>
      <c r="H149" s="242">
        <v>390.85160399999995</v>
      </c>
      <c r="I149" s="244" t="s">
        <v>211</v>
      </c>
      <c r="J149" s="242" t="s">
        <v>266</v>
      </c>
      <c r="K149" s="285"/>
      <c r="L149" s="251"/>
      <c r="M149" s="251">
        <v>0</v>
      </c>
    </row>
    <row r="150" spans="1:13" ht="16.5" x14ac:dyDescent="0.3">
      <c r="A150" s="236">
        <v>149</v>
      </c>
      <c r="B150" s="236" t="s">
        <v>34</v>
      </c>
      <c r="C150" s="237" t="s">
        <v>231</v>
      </c>
      <c r="D150" s="238">
        <v>1908</v>
      </c>
      <c r="E150" s="238" t="s">
        <v>172</v>
      </c>
      <c r="F150" s="239">
        <v>54.17</v>
      </c>
      <c r="G150" s="239">
        <v>583.08587999999997</v>
      </c>
      <c r="H150" s="240">
        <v>641.39446800000007</v>
      </c>
      <c r="I150" s="243" t="s">
        <v>211</v>
      </c>
      <c r="J150" s="240" t="s">
        <v>266</v>
      </c>
      <c r="K150" s="283"/>
      <c r="L150" s="250"/>
      <c r="M150" s="250">
        <v>0</v>
      </c>
    </row>
    <row r="151" spans="1:13" ht="16.5" x14ac:dyDescent="0.3">
      <c r="A151" s="148">
        <v>150</v>
      </c>
      <c r="B151" s="148" t="s">
        <v>34</v>
      </c>
      <c r="C151" s="149" t="s">
        <v>231</v>
      </c>
      <c r="D151" s="150">
        <v>1910</v>
      </c>
      <c r="E151" s="150" t="s">
        <v>173</v>
      </c>
      <c r="F151" s="241">
        <v>33.01</v>
      </c>
      <c r="G151" s="241">
        <v>355.31963999999994</v>
      </c>
      <c r="H151" s="242">
        <v>390.85160399999995</v>
      </c>
      <c r="I151" s="244" t="s">
        <v>211</v>
      </c>
      <c r="J151" s="242" t="s">
        <v>266</v>
      </c>
      <c r="K151" s="285"/>
      <c r="L151" s="251"/>
      <c r="M151" s="251">
        <v>0</v>
      </c>
    </row>
    <row r="152" spans="1:13" ht="16.5" x14ac:dyDescent="0.3">
      <c r="A152" s="236">
        <v>151</v>
      </c>
      <c r="B152" s="236" t="s">
        <v>34</v>
      </c>
      <c r="C152" s="237" t="s">
        <v>232</v>
      </c>
      <c r="D152" s="238">
        <v>2010</v>
      </c>
      <c r="E152" s="238" t="s">
        <v>173</v>
      </c>
      <c r="F152" s="239">
        <v>33.01</v>
      </c>
      <c r="G152" s="239">
        <v>355.31963999999994</v>
      </c>
      <c r="H152" s="240">
        <v>390.85160399999995</v>
      </c>
      <c r="I152" s="243" t="s">
        <v>211</v>
      </c>
      <c r="J152" s="240" t="s">
        <v>265</v>
      </c>
      <c r="K152" s="267">
        <v>1054550</v>
      </c>
      <c r="L152" s="286">
        <v>316365</v>
      </c>
      <c r="M152" s="250">
        <v>738185</v>
      </c>
    </row>
    <row r="153" spans="1:13" ht="16.5" x14ac:dyDescent="0.3">
      <c r="A153" s="148">
        <v>152</v>
      </c>
      <c r="B153" s="148" t="s">
        <v>35</v>
      </c>
      <c r="C153" s="149" t="s">
        <v>213</v>
      </c>
      <c r="D153" s="150">
        <v>101</v>
      </c>
      <c r="E153" s="150" t="s">
        <v>253</v>
      </c>
      <c r="F153" s="241">
        <v>33.159999999999997</v>
      </c>
      <c r="G153" s="241">
        <v>356.93423999999993</v>
      </c>
      <c r="H153" s="242">
        <v>392.62766399999998</v>
      </c>
      <c r="I153" s="244" t="s">
        <v>211</v>
      </c>
      <c r="J153" s="242" t="s">
        <v>266</v>
      </c>
      <c r="K153" s="285"/>
      <c r="L153" s="251"/>
      <c r="M153" s="251">
        <v>0</v>
      </c>
    </row>
    <row r="154" spans="1:13" ht="16.5" x14ac:dyDescent="0.3">
      <c r="A154" s="236">
        <v>153</v>
      </c>
      <c r="B154" s="236" t="s">
        <v>35</v>
      </c>
      <c r="C154" s="237" t="s">
        <v>213</v>
      </c>
      <c r="D154" s="238">
        <v>103</v>
      </c>
      <c r="E154" s="238" t="s">
        <v>251</v>
      </c>
      <c r="F154" s="239">
        <v>56.33</v>
      </c>
      <c r="G154" s="239">
        <v>606.33611999999994</v>
      </c>
      <c r="H154" s="240">
        <v>666.96973200000002</v>
      </c>
      <c r="I154" s="243" t="s">
        <v>211</v>
      </c>
      <c r="J154" s="240" t="s">
        <v>265</v>
      </c>
      <c r="K154" s="267">
        <v>2238500</v>
      </c>
      <c r="L154" s="286">
        <v>2238500</v>
      </c>
      <c r="M154" s="250">
        <v>0</v>
      </c>
    </row>
    <row r="155" spans="1:13" ht="16.5" x14ac:dyDescent="0.3">
      <c r="A155" s="148">
        <v>154</v>
      </c>
      <c r="B155" s="148" t="s">
        <v>35</v>
      </c>
      <c r="C155" s="149" t="s">
        <v>213</v>
      </c>
      <c r="D155" s="150">
        <v>104</v>
      </c>
      <c r="E155" s="150" t="s">
        <v>253</v>
      </c>
      <c r="F155" s="241">
        <v>33.159999999999997</v>
      </c>
      <c r="G155" s="241">
        <v>356.93423999999993</v>
      </c>
      <c r="H155" s="242">
        <v>392.62766399999998</v>
      </c>
      <c r="I155" s="244" t="s">
        <v>211</v>
      </c>
      <c r="J155" s="242" t="s">
        <v>266</v>
      </c>
      <c r="K155" s="285"/>
      <c r="L155" s="251"/>
      <c r="M155" s="251">
        <v>0</v>
      </c>
    </row>
    <row r="156" spans="1:13" ht="16.5" x14ac:dyDescent="0.3">
      <c r="A156" s="236">
        <v>155</v>
      </c>
      <c r="B156" s="236" t="s">
        <v>35</v>
      </c>
      <c r="C156" s="237" t="s">
        <v>213</v>
      </c>
      <c r="D156" s="238">
        <v>109</v>
      </c>
      <c r="E156" s="238" t="s">
        <v>251</v>
      </c>
      <c r="F156" s="246">
        <v>45.02</v>
      </c>
      <c r="G156" s="239">
        <v>484.59528</v>
      </c>
      <c r="H156" s="240">
        <v>533.05480800000009</v>
      </c>
      <c r="I156" s="243" t="s">
        <v>167</v>
      </c>
      <c r="J156" s="240" t="s">
        <v>266</v>
      </c>
      <c r="K156" s="283"/>
      <c r="L156" s="253"/>
      <c r="M156" s="250">
        <v>0</v>
      </c>
    </row>
    <row r="157" spans="1:13" ht="16.5" x14ac:dyDescent="0.3">
      <c r="A157" s="148">
        <v>156</v>
      </c>
      <c r="B157" s="148" t="s">
        <v>35</v>
      </c>
      <c r="C157" s="149" t="s">
        <v>213</v>
      </c>
      <c r="D157" s="150">
        <v>110</v>
      </c>
      <c r="E157" s="150" t="s">
        <v>251</v>
      </c>
      <c r="F157" s="247">
        <v>45.02</v>
      </c>
      <c r="G157" s="241">
        <v>484.59528</v>
      </c>
      <c r="H157" s="242">
        <v>533.05480800000009</v>
      </c>
      <c r="I157" s="244" t="s">
        <v>167</v>
      </c>
      <c r="J157" s="242" t="s">
        <v>266</v>
      </c>
      <c r="K157" s="285"/>
      <c r="L157" s="252"/>
      <c r="M157" s="251">
        <v>0</v>
      </c>
    </row>
    <row r="158" spans="1:13" ht="16.5" x14ac:dyDescent="0.3">
      <c r="A158" s="236">
        <v>157</v>
      </c>
      <c r="B158" s="236" t="s">
        <v>35</v>
      </c>
      <c r="C158" s="237" t="s">
        <v>214</v>
      </c>
      <c r="D158" s="238">
        <v>201</v>
      </c>
      <c r="E158" s="238" t="s">
        <v>253</v>
      </c>
      <c r="F158" s="246">
        <v>33.159999999999997</v>
      </c>
      <c r="G158" s="239">
        <v>356.93423999999993</v>
      </c>
      <c r="H158" s="240">
        <v>392.62766399999998</v>
      </c>
      <c r="I158" s="243" t="s">
        <v>211</v>
      </c>
      <c r="J158" s="240" t="s">
        <v>266</v>
      </c>
      <c r="K158" s="283"/>
      <c r="L158" s="253"/>
      <c r="M158" s="250">
        <v>0</v>
      </c>
    </row>
    <row r="159" spans="1:13" ht="16.5" x14ac:dyDescent="0.3">
      <c r="A159" s="148">
        <v>158</v>
      </c>
      <c r="B159" s="148" t="s">
        <v>35</v>
      </c>
      <c r="C159" s="149" t="s">
        <v>214</v>
      </c>
      <c r="D159" s="150">
        <v>202</v>
      </c>
      <c r="E159" s="150" t="s">
        <v>251</v>
      </c>
      <c r="F159" s="247">
        <v>56.33</v>
      </c>
      <c r="G159" s="241">
        <v>606.33611999999994</v>
      </c>
      <c r="H159" s="242">
        <v>666.96973200000002</v>
      </c>
      <c r="I159" s="244" t="s">
        <v>211</v>
      </c>
      <c r="J159" s="242" t="s">
        <v>265</v>
      </c>
      <c r="K159" s="267">
        <v>2423650</v>
      </c>
      <c r="L159" s="293">
        <v>727095</v>
      </c>
      <c r="M159" s="251">
        <v>1696555</v>
      </c>
    </row>
    <row r="160" spans="1:13" ht="16.5" x14ac:dyDescent="0.3">
      <c r="A160" s="236">
        <v>159</v>
      </c>
      <c r="B160" s="236" t="s">
        <v>35</v>
      </c>
      <c r="C160" s="237" t="s">
        <v>214</v>
      </c>
      <c r="D160" s="238">
        <v>203</v>
      </c>
      <c r="E160" s="238" t="s">
        <v>251</v>
      </c>
      <c r="F160" s="246">
        <v>56.33</v>
      </c>
      <c r="G160" s="239">
        <v>606.33611999999994</v>
      </c>
      <c r="H160" s="240">
        <v>666.96973200000002</v>
      </c>
      <c r="I160" s="243" t="s">
        <v>211</v>
      </c>
      <c r="J160" s="240" t="s">
        <v>265</v>
      </c>
      <c r="K160" s="267">
        <v>2423650</v>
      </c>
      <c r="L160" s="294">
        <v>727095</v>
      </c>
      <c r="M160" s="250">
        <v>1696555</v>
      </c>
    </row>
    <row r="161" spans="1:13" ht="16.5" x14ac:dyDescent="0.3">
      <c r="A161" s="148">
        <v>160</v>
      </c>
      <c r="B161" s="148" t="s">
        <v>35</v>
      </c>
      <c r="C161" s="149" t="s">
        <v>214</v>
      </c>
      <c r="D161" s="150">
        <v>204</v>
      </c>
      <c r="E161" s="150" t="s">
        <v>253</v>
      </c>
      <c r="F161" s="247">
        <v>33.159999999999997</v>
      </c>
      <c r="G161" s="241">
        <v>356.93423999999993</v>
      </c>
      <c r="H161" s="242">
        <v>392.62766399999998</v>
      </c>
      <c r="I161" s="244" t="s">
        <v>211</v>
      </c>
      <c r="J161" s="242" t="s">
        <v>266</v>
      </c>
      <c r="K161" s="285"/>
      <c r="L161" s="252"/>
      <c r="M161" s="251">
        <v>0</v>
      </c>
    </row>
    <row r="162" spans="1:13" ht="16.5" x14ac:dyDescent="0.3">
      <c r="A162" s="236">
        <v>161</v>
      </c>
      <c r="B162" s="236" t="s">
        <v>35</v>
      </c>
      <c r="C162" s="237" t="s">
        <v>214</v>
      </c>
      <c r="D162" s="238">
        <v>208</v>
      </c>
      <c r="E162" s="238" t="s">
        <v>254</v>
      </c>
      <c r="F162" s="246">
        <v>88.58</v>
      </c>
      <c r="G162" s="239">
        <v>953.47511999999995</v>
      </c>
      <c r="H162" s="240">
        <v>1048.8226320000001</v>
      </c>
      <c r="I162" s="243" t="s">
        <v>167</v>
      </c>
      <c r="J162" s="240" t="s">
        <v>265</v>
      </c>
      <c r="K162" s="272">
        <v>12428550</v>
      </c>
      <c r="L162" s="274">
        <v>3841779</v>
      </c>
      <c r="M162" s="250">
        <v>8586771</v>
      </c>
    </row>
    <row r="163" spans="1:13" ht="16.5" x14ac:dyDescent="0.3">
      <c r="A163" s="148">
        <v>162</v>
      </c>
      <c r="B163" s="148" t="s">
        <v>35</v>
      </c>
      <c r="C163" s="149" t="s">
        <v>214</v>
      </c>
      <c r="D163" s="150">
        <v>209</v>
      </c>
      <c r="E163" s="150" t="s">
        <v>251</v>
      </c>
      <c r="F163" s="247">
        <v>45.02</v>
      </c>
      <c r="G163" s="241">
        <v>484.59528</v>
      </c>
      <c r="H163" s="242">
        <v>533.05480800000009</v>
      </c>
      <c r="I163" s="244" t="s">
        <v>167</v>
      </c>
      <c r="J163" s="242" t="s">
        <v>266</v>
      </c>
      <c r="K163" s="285"/>
      <c r="L163" s="252"/>
      <c r="M163" s="251">
        <v>0</v>
      </c>
    </row>
    <row r="164" spans="1:13" ht="16.5" x14ac:dyDescent="0.3">
      <c r="A164" s="236">
        <v>163</v>
      </c>
      <c r="B164" s="236" t="s">
        <v>35</v>
      </c>
      <c r="C164" s="237" t="s">
        <v>214</v>
      </c>
      <c r="D164" s="238">
        <v>210</v>
      </c>
      <c r="E164" s="238" t="s">
        <v>251</v>
      </c>
      <c r="F164" s="246">
        <v>45.02</v>
      </c>
      <c r="G164" s="239">
        <v>484.59528</v>
      </c>
      <c r="H164" s="240">
        <v>533.05480800000009</v>
      </c>
      <c r="I164" s="243" t="s">
        <v>167</v>
      </c>
      <c r="J164" s="240" t="s">
        <v>266</v>
      </c>
      <c r="K164" s="283"/>
      <c r="L164" s="253"/>
      <c r="M164" s="250">
        <v>0</v>
      </c>
    </row>
    <row r="165" spans="1:13" ht="16.5" x14ac:dyDescent="0.3">
      <c r="A165" s="148">
        <v>164</v>
      </c>
      <c r="B165" s="148" t="s">
        <v>35</v>
      </c>
      <c r="C165" s="149" t="s">
        <v>215</v>
      </c>
      <c r="D165" s="150">
        <v>301</v>
      </c>
      <c r="E165" s="150" t="s">
        <v>253</v>
      </c>
      <c r="F165" s="247">
        <v>33.159999999999997</v>
      </c>
      <c r="G165" s="241">
        <v>356.93423999999993</v>
      </c>
      <c r="H165" s="242">
        <v>392.62766399999998</v>
      </c>
      <c r="I165" s="244" t="s">
        <v>211</v>
      </c>
      <c r="J165" s="242" t="s">
        <v>266</v>
      </c>
      <c r="K165" s="285"/>
      <c r="L165" s="252"/>
      <c r="M165" s="251">
        <v>0</v>
      </c>
    </row>
    <row r="166" spans="1:13" ht="16.5" x14ac:dyDescent="0.3">
      <c r="A166" s="236">
        <v>165</v>
      </c>
      <c r="B166" s="236" t="s">
        <v>35</v>
      </c>
      <c r="C166" s="237" t="s">
        <v>215</v>
      </c>
      <c r="D166" s="238">
        <v>302</v>
      </c>
      <c r="E166" s="238" t="s">
        <v>251</v>
      </c>
      <c r="F166" s="246">
        <v>56.33</v>
      </c>
      <c r="G166" s="239">
        <v>606.33611999999994</v>
      </c>
      <c r="H166" s="240">
        <v>666.96973200000002</v>
      </c>
      <c r="I166" s="243" t="s">
        <v>211</v>
      </c>
      <c r="J166" s="240" t="s">
        <v>266</v>
      </c>
      <c r="K166" s="283"/>
      <c r="L166" s="253"/>
      <c r="M166" s="250">
        <v>0</v>
      </c>
    </row>
    <row r="167" spans="1:13" ht="16.5" x14ac:dyDescent="0.3">
      <c r="A167" s="148">
        <v>166</v>
      </c>
      <c r="B167" s="148" t="s">
        <v>35</v>
      </c>
      <c r="C167" s="149" t="s">
        <v>215</v>
      </c>
      <c r="D167" s="150">
        <v>303</v>
      </c>
      <c r="E167" s="150" t="s">
        <v>251</v>
      </c>
      <c r="F167" s="247">
        <v>56.33</v>
      </c>
      <c r="G167" s="241">
        <v>606.33611999999994</v>
      </c>
      <c r="H167" s="242">
        <v>666.96973200000002</v>
      </c>
      <c r="I167" s="244" t="s">
        <v>211</v>
      </c>
      <c r="J167" s="242" t="s">
        <v>265</v>
      </c>
      <c r="K167" s="267">
        <v>2423650</v>
      </c>
      <c r="L167" s="293">
        <v>1817738</v>
      </c>
      <c r="M167" s="251">
        <v>605912</v>
      </c>
    </row>
    <row r="168" spans="1:13" ht="16.5" x14ac:dyDescent="0.3">
      <c r="A168" s="236">
        <v>167</v>
      </c>
      <c r="B168" s="236" t="s">
        <v>35</v>
      </c>
      <c r="C168" s="237" t="s">
        <v>215</v>
      </c>
      <c r="D168" s="238">
        <v>304</v>
      </c>
      <c r="E168" s="238" t="s">
        <v>253</v>
      </c>
      <c r="F168" s="246">
        <v>33.159999999999997</v>
      </c>
      <c r="G168" s="239">
        <v>356.93423999999993</v>
      </c>
      <c r="H168" s="240">
        <v>392.62766399999998</v>
      </c>
      <c r="I168" s="243" t="s">
        <v>211</v>
      </c>
      <c r="J168" s="240" t="s">
        <v>266</v>
      </c>
      <c r="K168" s="283"/>
      <c r="L168" s="253"/>
      <c r="M168" s="250">
        <v>0</v>
      </c>
    </row>
    <row r="169" spans="1:13" ht="16.5" x14ac:dyDescent="0.3">
      <c r="A169" s="148">
        <v>168</v>
      </c>
      <c r="B169" s="148" t="s">
        <v>35</v>
      </c>
      <c r="C169" s="149" t="s">
        <v>215</v>
      </c>
      <c r="D169" s="150">
        <v>307</v>
      </c>
      <c r="E169" s="150" t="s">
        <v>254</v>
      </c>
      <c r="F169" s="247">
        <v>88.58</v>
      </c>
      <c r="G169" s="241">
        <v>953.47511999999995</v>
      </c>
      <c r="H169" s="242">
        <v>1048.8226320000001</v>
      </c>
      <c r="I169" s="244" t="s">
        <v>167</v>
      </c>
      <c r="J169" s="242" t="s">
        <v>265</v>
      </c>
      <c r="K169" s="272">
        <v>9929600</v>
      </c>
      <c r="L169" s="274">
        <v>2515500</v>
      </c>
      <c r="M169" s="251">
        <v>7414100</v>
      </c>
    </row>
    <row r="170" spans="1:13" ht="16.5" x14ac:dyDescent="0.3">
      <c r="A170" s="236">
        <v>169</v>
      </c>
      <c r="B170" s="236" t="s">
        <v>35</v>
      </c>
      <c r="C170" s="237" t="s">
        <v>215</v>
      </c>
      <c r="D170" s="238">
        <v>309</v>
      </c>
      <c r="E170" s="238" t="s">
        <v>251</v>
      </c>
      <c r="F170" s="246">
        <v>45.02</v>
      </c>
      <c r="G170" s="239">
        <v>484.59528</v>
      </c>
      <c r="H170" s="240">
        <v>533.05480800000009</v>
      </c>
      <c r="I170" s="243" t="s">
        <v>167</v>
      </c>
      <c r="J170" s="240" t="s">
        <v>266</v>
      </c>
      <c r="K170" s="283"/>
      <c r="L170" s="253"/>
      <c r="M170" s="250">
        <v>0</v>
      </c>
    </row>
    <row r="171" spans="1:13" ht="16.5" x14ac:dyDescent="0.3">
      <c r="A171" s="148">
        <v>170</v>
      </c>
      <c r="B171" s="148" t="s">
        <v>35</v>
      </c>
      <c r="C171" s="149" t="s">
        <v>215</v>
      </c>
      <c r="D171" s="150">
        <v>310</v>
      </c>
      <c r="E171" s="150" t="s">
        <v>251</v>
      </c>
      <c r="F171" s="247">
        <v>45.02</v>
      </c>
      <c r="G171" s="241">
        <v>484.59528</v>
      </c>
      <c r="H171" s="242">
        <v>533.05480800000009</v>
      </c>
      <c r="I171" s="244" t="s">
        <v>167</v>
      </c>
      <c r="J171" s="242" t="s">
        <v>266</v>
      </c>
      <c r="K171" s="285"/>
      <c r="L171" s="252"/>
      <c r="M171" s="251">
        <v>0</v>
      </c>
    </row>
    <row r="172" spans="1:13" ht="16.5" x14ac:dyDescent="0.3">
      <c r="A172" s="236">
        <v>171</v>
      </c>
      <c r="B172" s="236" t="s">
        <v>35</v>
      </c>
      <c r="C172" s="237" t="s">
        <v>216</v>
      </c>
      <c r="D172" s="238">
        <v>401</v>
      </c>
      <c r="E172" s="238" t="s">
        <v>173</v>
      </c>
      <c r="F172" s="246">
        <v>33.159999999999997</v>
      </c>
      <c r="G172" s="239">
        <v>356.93423999999993</v>
      </c>
      <c r="H172" s="240">
        <v>392.62766399999998</v>
      </c>
      <c r="I172" s="243" t="s">
        <v>211</v>
      </c>
      <c r="J172" s="240" t="s">
        <v>266</v>
      </c>
      <c r="K172" s="283"/>
      <c r="L172" s="253"/>
      <c r="M172" s="250">
        <v>0</v>
      </c>
    </row>
    <row r="173" spans="1:13" ht="16.5" x14ac:dyDescent="0.3">
      <c r="A173" s="148">
        <v>172</v>
      </c>
      <c r="B173" s="148" t="s">
        <v>35</v>
      </c>
      <c r="C173" s="149" t="s">
        <v>216</v>
      </c>
      <c r="D173" s="150">
        <v>403</v>
      </c>
      <c r="E173" s="150" t="s">
        <v>172</v>
      </c>
      <c r="F173" s="247">
        <v>58.59</v>
      </c>
      <c r="G173" s="241">
        <v>630.66276000000005</v>
      </c>
      <c r="H173" s="242">
        <v>693.72903600000006</v>
      </c>
      <c r="I173" s="244" t="s">
        <v>211</v>
      </c>
      <c r="J173" s="242" t="s">
        <v>265</v>
      </c>
      <c r="K173" s="267">
        <v>3083650</v>
      </c>
      <c r="L173" s="293">
        <v>925095</v>
      </c>
      <c r="M173" s="251">
        <v>2158555</v>
      </c>
    </row>
    <row r="174" spans="1:13" ht="16.5" x14ac:dyDescent="0.3">
      <c r="A174" s="236">
        <v>173</v>
      </c>
      <c r="B174" s="236" t="s">
        <v>35</v>
      </c>
      <c r="C174" s="237" t="s">
        <v>216</v>
      </c>
      <c r="D174" s="238">
        <v>404</v>
      </c>
      <c r="E174" s="238" t="s">
        <v>173</v>
      </c>
      <c r="F174" s="246">
        <v>33.159999999999997</v>
      </c>
      <c r="G174" s="239">
        <v>356.93423999999993</v>
      </c>
      <c r="H174" s="240">
        <v>392.62766399999998</v>
      </c>
      <c r="I174" s="243" t="s">
        <v>211</v>
      </c>
      <c r="J174" s="240" t="s">
        <v>266</v>
      </c>
      <c r="K174" s="283"/>
      <c r="L174" s="253"/>
      <c r="M174" s="250">
        <v>0</v>
      </c>
    </row>
    <row r="175" spans="1:13" ht="16.5" x14ac:dyDescent="0.3">
      <c r="A175" s="148">
        <v>174</v>
      </c>
      <c r="B175" s="148" t="s">
        <v>35</v>
      </c>
      <c r="C175" s="149" t="s">
        <v>216</v>
      </c>
      <c r="D175" s="150">
        <v>405</v>
      </c>
      <c r="E175" s="150" t="s">
        <v>173</v>
      </c>
      <c r="F175" s="247">
        <v>33.44</v>
      </c>
      <c r="G175" s="241">
        <v>359.94815999999997</v>
      </c>
      <c r="H175" s="242">
        <v>395.94297599999999</v>
      </c>
      <c r="I175" s="244" t="s">
        <v>211</v>
      </c>
      <c r="J175" s="242" t="s">
        <v>266</v>
      </c>
      <c r="K175" s="285"/>
      <c r="L175" s="252"/>
      <c r="M175" s="251">
        <v>0</v>
      </c>
    </row>
    <row r="176" spans="1:13" ht="16.5" x14ac:dyDescent="0.3">
      <c r="A176" s="236">
        <v>175</v>
      </c>
      <c r="B176" s="236" t="s">
        <v>35</v>
      </c>
      <c r="C176" s="237" t="s">
        <v>216</v>
      </c>
      <c r="D176" s="238">
        <v>409</v>
      </c>
      <c r="E176" s="238" t="s">
        <v>172</v>
      </c>
      <c r="F176" s="246">
        <v>45.02</v>
      </c>
      <c r="G176" s="239">
        <v>484.59528</v>
      </c>
      <c r="H176" s="240">
        <v>533.05480800000009</v>
      </c>
      <c r="I176" s="243" t="s">
        <v>211</v>
      </c>
      <c r="J176" s="240" t="s">
        <v>266</v>
      </c>
      <c r="K176" s="283"/>
      <c r="L176" s="253"/>
      <c r="M176" s="250">
        <v>0</v>
      </c>
    </row>
    <row r="177" spans="1:13" ht="16.5" x14ac:dyDescent="0.3">
      <c r="A177" s="148">
        <v>176</v>
      </c>
      <c r="B177" s="148" t="s">
        <v>35</v>
      </c>
      <c r="C177" s="149" t="s">
        <v>217</v>
      </c>
      <c r="D177" s="150">
        <v>504</v>
      </c>
      <c r="E177" s="150" t="s">
        <v>173</v>
      </c>
      <c r="F177" s="247">
        <v>33.159999999999997</v>
      </c>
      <c r="G177" s="241">
        <v>356.93423999999993</v>
      </c>
      <c r="H177" s="242">
        <v>392.62766399999998</v>
      </c>
      <c r="I177" s="244" t="s">
        <v>211</v>
      </c>
      <c r="J177" s="242" t="s">
        <v>266</v>
      </c>
      <c r="K177" s="285"/>
      <c r="L177" s="252"/>
      <c r="M177" s="251">
        <v>0</v>
      </c>
    </row>
    <row r="178" spans="1:13" ht="16.5" x14ac:dyDescent="0.3">
      <c r="A178" s="236">
        <v>177</v>
      </c>
      <c r="B178" s="236" t="s">
        <v>35</v>
      </c>
      <c r="C178" s="237" t="s">
        <v>217</v>
      </c>
      <c r="D178" s="238">
        <v>505</v>
      </c>
      <c r="E178" s="238" t="s">
        <v>173</v>
      </c>
      <c r="F178" s="246">
        <v>33.44</v>
      </c>
      <c r="G178" s="239">
        <v>359.94815999999997</v>
      </c>
      <c r="H178" s="240">
        <v>395.94297599999999</v>
      </c>
      <c r="I178" s="243" t="s">
        <v>211</v>
      </c>
      <c r="J178" s="240" t="s">
        <v>266</v>
      </c>
      <c r="K178" s="283"/>
      <c r="L178" s="253"/>
      <c r="M178" s="250">
        <v>0</v>
      </c>
    </row>
    <row r="179" spans="1:13" ht="16.5" x14ac:dyDescent="0.3">
      <c r="A179" s="148">
        <v>178</v>
      </c>
      <c r="B179" s="148" t="s">
        <v>35</v>
      </c>
      <c r="C179" s="149" t="s">
        <v>217</v>
      </c>
      <c r="D179" s="150">
        <v>506</v>
      </c>
      <c r="E179" s="150" t="s">
        <v>173</v>
      </c>
      <c r="F179" s="247">
        <v>33.44</v>
      </c>
      <c r="G179" s="241">
        <v>359.94815999999997</v>
      </c>
      <c r="H179" s="242">
        <v>395.94297599999999</v>
      </c>
      <c r="I179" s="244" t="s">
        <v>211</v>
      </c>
      <c r="J179" s="242" t="s">
        <v>265</v>
      </c>
      <c r="K179" s="267">
        <v>877500</v>
      </c>
      <c r="L179" s="293">
        <v>877500</v>
      </c>
      <c r="M179" s="251">
        <v>0</v>
      </c>
    </row>
    <row r="180" spans="1:13" ht="16.5" x14ac:dyDescent="0.3">
      <c r="A180" s="236">
        <v>179</v>
      </c>
      <c r="B180" s="236" t="s">
        <v>35</v>
      </c>
      <c r="C180" s="237" t="s">
        <v>217</v>
      </c>
      <c r="D180" s="238">
        <v>509</v>
      </c>
      <c r="E180" s="238" t="s">
        <v>172</v>
      </c>
      <c r="F180" s="246">
        <v>65.16</v>
      </c>
      <c r="G180" s="239">
        <v>701.38223999999991</v>
      </c>
      <c r="H180" s="240">
        <v>771.52046399999995</v>
      </c>
      <c r="I180" s="243" t="s">
        <v>211</v>
      </c>
      <c r="J180" s="240" t="s">
        <v>265</v>
      </c>
      <c r="K180" s="267">
        <v>4887600</v>
      </c>
      <c r="L180" s="294">
        <v>0</v>
      </c>
      <c r="M180" s="250">
        <v>4887600</v>
      </c>
    </row>
    <row r="181" spans="1:13" ht="16.5" x14ac:dyDescent="0.3">
      <c r="A181" s="148">
        <v>180</v>
      </c>
      <c r="B181" s="148" t="s">
        <v>35</v>
      </c>
      <c r="C181" s="149" t="s">
        <v>218</v>
      </c>
      <c r="D181" s="150">
        <v>601</v>
      </c>
      <c r="E181" s="150" t="s">
        <v>173</v>
      </c>
      <c r="F181" s="247">
        <v>33.11</v>
      </c>
      <c r="G181" s="241">
        <v>356.39603999999997</v>
      </c>
      <c r="H181" s="242">
        <v>392.03564399999999</v>
      </c>
      <c r="I181" s="244" t="s">
        <v>211</v>
      </c>
      <c r="J181" s="242" t="s">
        <v>266</v>
      </c>
      <c r="K181" s="285"/>
      <c r="L181" s="252"/>
      <c r="M181" s="251">
        <v>0</v>
      </c>
    </row>
    <row r="182" spans="1:13" ht="16.5" x14ac:dyDescent="0.3">
      <c r="A182" s="236">
        <v>181</v>
      </c>
      <c r="B182" s="236" t="s">
        <v>35</v>
      </c>
      <c r="C182" s="237" t="s">
        <v>218</v>
      </c>
      <c r="D182" s="238">
        <v>604</v>
      </c>
      <c r="E182" s="238" t="s">
        <v>173</v>
      </c>
      <c r="F182" s="246">
        <v>33.159999999999997</v>
      </c>
      <c r="G182" s="239">
        <v>356.93423999999993</v>
      </c>
      <c r="H182" s="240">
        <v>392.62766399999998</v>
      </c>
      <c r="I182" s="243" t="s">
        <v>211</v>
      </c>
      <c r="J182" s="240" t="s">
        <v>266</v>
      </c>
      <c r="K182" s="283"/>
      <c r="L182" s="253"/>
      <c r="M182" s="250">
        <v>0</v>
      </c>
    </row>
    <row r="183" spans="1:13" ht="16.5" x14ac:dyDescent="0.3">
      <c r="A183" s="148">
        <v>182</v>
      </c>
      <c r="B183" s="148" t="s">
        <v>35</v>
      </c>
      <c r="C183" s="149" t="s">
        <v>218</v>
      </c>
      <c r="D183" s="150">
        <v>605</v>
      </c>
      <c r="E183" s="150" t="s">
        <v>253</v>
      </c>
      <c r="F183" s="247">
        <v>33.44</v>
      </c>
      <c r="G183" s="241">
        <v>359.94815999999997</v>
      </c>
      <c r="H183" s="242">
        <v>395.94297599999999</v>
      </c>
      <c r="I183" s="244" t="s">
        <v>211</v>
      </c>
      <c r="J183" s="242" t="s">
        <v>266</v>
      </c>
      <c r="K183" s="285"/>
      <c r="L183" s="252"/>
      <c r="M183" s="251">
        <v>0</v>
      </c>
    </row>
    <row r="184" spans="1:13" ht="16.5" x14ac:dyDescent="0.3">
      <c r="A184" s="236">
        <v>183</v>
      </c>
      <c r="B184" s="167" t="s">
        <v>35</v>
      </c>
      <c r="C184" s="169" t="s">
        <v>218</v>
      </c>
      <c r="D184" s="168">
        <v>607</v>
      </c>
      <c r="E184" s="168" t="s">
        <v>174</v>
      </c>
      <c r="F184" s="175">
        <v>88.58</v>
      </c>
      <c r="G184" s="159">
        <v>953.47511999999995</v>
      </c>
      <c r="H184" s="170">
        <v>1048.8226320000001</v>
      </c>
      <c r="I184" s="248" t="s">
        <v>211</v>
      </c>
      <c r="J184" s="170" t="s">
        <v>265</v>
      </c>
      <c r="K184" s="302">
        <v>1764500</v>
      </c>
      <c r="L184" s="294">
        <v>1764480</v>
      </c>
      <c r="M184" s="250">
        <v>20</v>
      </c>
    </row>
    <row r="185" spans="1:13" ht="16.5" x14ac:dyDescent="0.3">
      <c r="A185" s="148">
        <v>184</v>
      </c>
      <c r="B185" s="148" t="s">
        <v>35</v>
      </c>
      <c r="C185" s="149" t="s">
        <v>218</v>
      </c>
      <c r="D185" s="150">
        <v>610</v>
      </c>
      <c r="E185" s="150" t="s">
        <v>172</v>
      </c>
      <c r="F185" s="247">
        <v>65.16</v>
      </c>
      <c r="G185" s="241">
        <v>701.38223999999991</v>
      </c>
      <c r="H185" s="242">
        <v>771.52046399999995</v>
      </c>
      <c r="I185" s="244" t="s">
        <v>167</v>
      </c>
      <c r="J185" s="242" t="s">
        <v>265</v>
      </c>
      <c r="K185" s="272">
        <v>1831500</v>
      </c>
      <c r="L185" s="274">
        <v>1831500</v>
      </c>
      <c r="M185" s="251">
        <v>0</v>
      </c>
    </row>
    <row r="186" spans="1:13" ht="16.5" x14ac:dyDescent="0.3">
      <c r="A186" s="236">
        <v>185</v>
      </c>
      <c r="B186" s="236" t="s">
        <v>35</v>
      </c>
      <c r="C186" s="237" t="s">
        <v>219</v>
      </c>
      <c r="D186" s="238">
        <v>701</v>
      </c>
      <c r="E186" s="238" t="s">
        <v>173</v>
      </c>
      <c r="F186" s="246">
        <v>33.11</v>
      </c>
      <c r="G186" s="239">
        <v>356.39603999999997</v>
      </c>
      <c r="H186" s="240">
        <v>392.03564399999999</v>
      </c>
      <c r="I186" s="243" t="s">
        <v>211</v>
      </c>
      <c r="J186" s="240" t="s">
        <v>266</v>
      </c>
      <c r="K186" s="283"/>
      <c r="L186" s="253"/>
      <c r="M186" s="250">
        <v>0</v>
      </c>
    </row>
    <row r="187" spans="1:13" ht="16.5" x14ac:dyDescent="0.3">
      <c r="A187" s="148">
        <v>186</v>
      </c>
      <c r="B187" s="148" t="s">
        <v>35</v>
      </c>
      <c r="C187" s="149" t="s">
        <v>219</v>
      </c>
      <c r="D187" s="150">
        <v>702</v>
      </c>
      <c r="E187" s="150" t="s">
        <v>172</v>
      </c>
      <c r="F187" s="247">
        <v>62.04</v>
      </c>
      <c r="G187" s="241">
        <v>667.79855999999995</v>
      </c>
      <c r="H187" s="242">
        <v>734.57841600000006</v>
      </c>
      <c r="I187" s="244" t="s">
        <v>211</v>
      </c>
      <c r="J187" s="242" t="s">
        <v>265</v>
      </c>
      <c r="K187" s="267">
        <v>3331650</v>
      </c>
      <c r="L187" s="293">
        <v>2498738</v>
      </c>
      <c r="M187" s="251">
        <v>832912</v>
      </c>
    </row>
    <row r="188" spans="1:13" ht="16.5" x14ac:dyDescent="0.3">
      <c r="A188" s="236">
        <v>187</v>
      </c>
      <c r="B188" s="236" t="s">
        <v>35</v>
      </c>
      <c r="C188" s="237" t="s">
        <v>219</v>
      </c>
      <c r="D188" s="238">
        <v>704</v>
      </c>
      <c r="E188" s="238" t="s">
        <v>173</v>
      </c>
      <c r="F188" s="246">
        <v>33.159999999999997</v>
      </c>
      <c r="G188" s="239">
        <v>356.93423999999993</v>
      </c>
      <c r="H188" s="240">
        <v>392.62766399999998</v>
      </c>
      <c r="I188" s="243" t="s">
        <v>211</v>
      </c>
      <c r="J188" s="240" t="s">
        <v>266</v>
      </c>
      <c r="K188" s="283"/>
      <c r="L188" s="253"/>
      <c r="M188" s="250">
        <v>0</v>
      </c>
    </row>
    <row r="189" spans="1:13" ht="16.5" x14ac:dyDescent="0.3">
      <c r="A189" s="148">
        <v>188</v>
      </c>
      <c r="B189" s="148" t="s">
        <v>35</v>
      </c>
      <c r="C189" s="149" t="s">
        <v>220</v>
      </c>
      <c r="D189" s="150">
        <v>801</v>
      </c>
      <c r="E189" s="150" t="s">
        <v>173</v>
      </c>
      <c r="F189" s="247">
        <v>33.159999999999997</v>
      </c>
      <c r="G189" s="241">
        <v>356.93423999999993</v>
      </c>
      <c r="H189" s="242">
        <v>392.62766399999998</v>
      </c>
      <c r="I189" s="244" t="s">
        <v>211</v>
      </c>
      <c r="J189" s="242" t="s">
        <v>266</v>
      </c>
      <c r="K189" s="285"/>
      <c r="L189" s="252"/>
      <c r="M189" s="251">
        <v>0</v>
      </c>
    </row>
    <row r="190" spans="1:13" ht="16.5" x14ac:dyDescent="0.3">
      <c r="A190" s="236">
        <v>189</v>
      </c>
      <c r="B190" s="236" t="s">
        <v>35</v>
      </c>
      <c r="C190" s="237" t="s">
        <v>220</v>
      </c>
      <c r="D190" s="238">
        <v>804</v>
      </c>
      <c r="E190" s="238" t="s">
        <v>173</v>
      </c>
      <c r="F190" s="246">
        <v>33.159999999999997</v>
      </c>
      <c r="G190" s="239">
        <v>356.93423999999993</v>
      </c>
      <c r="H190" s="240">
        <v>392.62766399999998</v>
      </c>
      <c r="I190" s="243" t="s">
        <v>211</v>
      </c>
      <c r="J190" s="240" t="s">
        <v>266</v>
      </c>
      <c r="K190" s="283"/>
      <c r="L190" s="253"/>
      <c r="M190" s="250">
        <v>0</v>
      </c>
    </row>
    <row r="191" spans="1:13" ht="16.5" x14ac:dyDescent="0.3">
      <c r="A191" s="148">
        <v>190</v>
      </c>
      <c r="B191" s="148" t="s">
        <v>35</v>
      </c>
      <c r="C191" s="149" t="s">
        <v>221</v>
      </c>
      <c r="D191" s="150">
        <v>901</v>
      </c>
      <c r="E191" s="150" t="s">
        <v>173</v>
      </c>
      <c r="F191" s="247">
        <v>33.159999999999997</v>
      </c>
      <c r="G191" s="241">
        <v>356.93423999999993</v>
      </c>
      <c r="H191" s="242">
        <v>392.62766399999998</v>
      </c>
      <c r="I191" s="244" t="s">
        <v>211</v>
      </c>
      <c r="J191" s="242" t="s">
        <v>266</v>
      </c>
      <c r="K191" s="285"/>
      <c r="L191" s="252"/>
      <c r="M191" s="251">
        <v>0</v>
      </c>
    </row>
    <row r="192" spans="1:13" ht="16.5" x14ac:dyDescent="0.3">
      <c r="A192" s="236">
        <v>191</v>
      </c>
      <c r="B192" s="236" t="s">
        <v>35</v>
      </c>
      <c r="C192" s="237" t="s">
        <v>221</v>
      </c>
      <c r="D192" s="238">
        <v>904</v>
      </c>
      <c r="E192" s="238" t="s">
        <v>173</v>
      </c>
      <c r="F192" s="246">
        <v>33.159999999999997</v>
      </c>
      <c r="G192" s="239">
        <v>356.93423999999993</v>
      </c>
      <c r="H192" s="240">
        <v>392.62766399999998</v>
      </c>
      <c r="I192" s="243" t="s">
        <v>211</v>
      </c>
      <c r="J192" s="240" t="s">
        <v>266</v>
      </c>
      <c r="K192" s="283"/>
      <c r="L192" s="253"/>
      <c r="M192" s="250">
        <v>0</v>
      </c>
    </row>
    <row r="193" spans="1:13" ht="16.5" x14ac:dyDescent="0.3">
      <c r="A193" s="148">
        <v>192</v>
      </c>
      <c r="B193" s="148" t="s">
        <v>35</v>
      </c>
      <c r="C193" s="149" t="s">
        <v>221</v>
      </c>
      <c r="D193" s="150">
        <v>906</v>
      </c>
      <c r="E193" s="150" t="s">
        <v>172</v>
      </c>
      <c r="F193" s="247">
        <v>66.23</v>
      </c>
      <c r="G193" s="241">
        <v>712.89972</v>
      </c>
      <c r="H193" s="242">
        <v>784.18969200000004</v>
      </c>
      <c r="I193" s="244" t="s">
        <v>211</v>
      </c>
      <c r="J193" s="242" t="s">
        <v>265</v>
      </c>
      <c r="K193" s="267">
        <v>3440500</v>
      </c>
      <c r="L193" s="293">
        <v>3440500</v>
      </c>
      <c r="M193" s="251">
        <v>0</v>
      </c>
    </row>
    <row r="194" spans="1:13" ht="16.5" x14ac:dyDescent="0.3">
      <c r="A194" s="236">
        <v>193</v>
      </c>
      <c r="B194" s="236" t="s">
        <v>35</v>
      </c>
      <c r="C194" s="237" t="s">
        <v>222</v>
      </c>
      <c r="D194" s="238">
        <v>1010</v>
      </c>
      <c r="E194" s="238" t="s">
        <v>172</v>
      </c>
      <c r="F194" s="246">
        <v>65.16</v>
      </c>
      <c r="G194" s="239">
        <v>701.38223999999991</v>
      </c>
      <c r="H194" s="240">
        <v>771.52046399999995</v>
      </c>
      <c r="I194" s="243" t="s">
        <v>211</v>
      </c>
      <c r="J194" s="240" t="s">
        <v>265</v>
      </c>
      <c r="K194" s="267">
        <v>6068500</v>
      </c>
      <c r="L194" s="294">
        <v>5950000</v>
      </c>
      <c r="M194" s="250">
        <v>118500</v>
      </c>
    </row>
    <row r="195" spans="1:13" ht="16.5" x14ac:dyDescent="0.3">
      <c r="A195" s="148">
        <v>194</v>
      </c>
      <c r="B195" s="148" t="s">
        <v>35</v>
      </c>
      <c r="C195" s="149" t="s">
        <v>223</v>
      </c>
      <c r="D195" s="150">
        <v>1101</v>
      </c>
      <c r="E195" s="150" t="s">
        <v>173</v>
      </c>
      <c r="F195" s="247">
        <v>33.159999999999997</v>
      </c>
      <c r="G195" s="241">
        <v>356.93423999999993</v>
      </c>
      <c r="H195" s="242">
        <v>392.62766399999998</v>
      </c>
      <c r="I195" s="244" t="s">
        <v>211</v>
      </c>
      <c r="J195" s="242" t="s">
        <v>266</v>
      </c>
      <c r="K195" s="285"/>
      <c r="L195" s="252"/>
      <c r="M195" s="251">
        <v>0</v>
      </c>
    </row>
    <row r="196" spans="1:13" ht="16.5" x14ac:dyDescent="0.3">
      <c r="A196" s="236">
        <v>195</v>
      </c>
      <c r="B196" s="236" t="s">
        <v>35</v>
      </c>
      <c r="C196" s="237" t="s">
        <v>223</v>
      </c>
      <c r="D196" s="238">
        <v>1103</v>
      </c>
      <c r="E196" s="238" t="s">
        <v>172</v>
      </c>
      <c r="F196" s="246">
        <v>62.04</v>
      </c>
      <c r="G196" s="239">
        <v>667.79855999999995</v>
      </c>
      <c r="H196" s="240">
        <v>734.57841600000006</v>
      </c>
      <c r="I196" s="243" t="s">
        <v>167</v>
      </c>
      <c r="J196" s="240" t="s">
        <v>265</v>
      </c>
      <c r="K196" s="272">
        <v>3975500</v>
      </c>
      <c r="L196" s="274">
        <v>2007102</v>
      </c>
      <c r="M196" s="250">
        <v>1968398</v>
      </c>
    </row>
    <row r="197" spans="1:13" ht="16.5" x14ac:dyDescent="0.3">
      <c r="A197" s="148">
        <v>196</v>
      </c>
      <c r="B197" s="148" t="s">
        <v>35</v>
      </c>
      <c r="C197" s="149" t="s">
        <v>223</v>
      </c>
      <c r="D197" s="150">
        <v>1104</v>
      </c>
      <c r="E197" s="150" t="s">
        <v>173</v>
      </c>
      <c r="F197" s="247">
        <v>33.159999999999997</v>
      </c>
      <c r="G197" s="241">
        <v>356.93423999999993</v>
      </c>
      <c r="H197" s="242">
        <v>392.62766399999998</v>
      </c>
      <c r="I197" s="244" t="s">
        <v>211</v>
      </c>
      <c r="J197" s="242" t="s">
        <v>266</v>
      </c>
      <c r="K197" s="285"/>
      <c r="L197" s="252"/>
      <c r="M197" s="251">
        <v>0</v>
      </c>
    </row>
    <row r="198" spans="1:13" ht="16.5" x14ac:dyDescent="0.3">
      <c r="A198" s="236">
        <v>197</v>
      </c>
      <c r="B198" s="236" t="s">
        <v>35</v>
      </c>
      <c r="C198" s="237" t="s">
        <v>223</v>
      </c>
      <c r="D198" s="238">
        <v>1105</v>
      </c>
      <c r="E198" s="238" t="s">
        <v>172</v>
      </c>
      <c r="F198" s="246">
        <v>66.23</v>
      </c>
      <c r="G198" s="239">
        <v>712.89972</v>
      </c>
      <c r="H198" s="240">
        <v>784.18969200000004</v>
      </c>
      <c r="I198" s="243" t="s">
        <v>211</v>
      </c>
      <c r="J198" s="240" t="s">
        <v>265</v>
      </c>
      <c r="K198" s="267">
        <v>962000</v>
      </c>
      <c r="L198" s="294">
        <v>962000</v>
      </c>
      <c r="M198" s="250">
        <v>0</v>
      </c>
    </row>
    <row r="199" spans="1:13" ht="16.5" x14ac:dyDescent="0.3">
      <c r="A199" s="148">
        <v>198</v>
      </c>
      <c r="B199" s="148" t="s">
        <v>35</v>
      </c>
      <c r="C199" s="149" t="s">
        <v>224</v>
      </c>
      <c r="D199" s="150">
        <v>1201</v>
      </c>
      <c r="E199" s="150" t="s">
        <v>173</v>
      </c>
      <c r="F199" s="247">
        <v>33.159999999999997</v>
      </c>
      <c r="G199" s="241">
        <v>356.93423999999993</v>
      </c>
      <c r="H199" s="242">
        <v>392.62766399999998</v>
      </c>
      <c r="I199" s="244" t="s">
        <v>211</v>
      </c>
      <c r="J199" s="242" t="s">
        <v>266</v>
      </c>
      <c r="K199" s="285"/>
      <c r="L199" s="252"/>
      <c r="M199" s="251">
        <v>0</v>
      </c>
    </row>
    <row r="200" spans="1:13" ht="16.5" x14ac:dyDescent="0.3">
      <c r="A200" s="236">
        <v>199</v>
      </c>
      <c r="B200" s="236" t="s">
        <v>35</v>
      </c>
      <c r="C200" s="237" t="s">
        <v>224</v>
      </c>
      <c r="D200" s="238">
        <v>1202</v>
      </c>
      <c r="E200" s="238" t="s">
        <v>172</v>
      </c>
      <c r="F200" s="246">
        <v>62.04</v>
      </c>
      <c r="G200" s="239">
        <v>667.79855999999995</v>
      </c>
      <c r="H200" s="240">
        <v>734.57841600000006</v>
      </c>
      <c r="I200" s="243" t="s">
        <v>211</v>
      </c>
      <c r="J200" s="240" t="s">
        <v>265</v>
      </c>
      <c r="K200" s="267">
        <v>2567550</v>
      </c>
      <c r="L200" s="294">
        <v>2250000</v>
      </c>
      <c r="M200" s="250">
        <v>317550</v>
      </c>
    </row>
    <row r="201" spans="1:13" ht="16.5" x14ac:dyDescent="0.3">
      <c r="A201" s="148">
        <v>200</v>
      </c>
      <c r="B201" s="148" t="s">
        <v>35</v>
      </c>
      <c r="C201" s="149" t="s">
        <v>224</v>
      </c>
      <c r="D201" s="150">
        <v>1204</v>
      </c>
      <c r="E201" s="150" t="s">
        <v>173</v>
      </c>
      <c r="F201" s="247">
        <v>33.159999999999997</v>
      </c>
      <c r="G201" s="241">
        <v>356.93423999999993</v>
      </c>
      <c r="H201" s="242">
        <v>392.62766399999998</v>
      </c>
      <c r="I201" s="244" t="s">
        <v>167</v>
      </c>
      <c r="J201" s="242" t="s">
        <v>266</v>
      </c>
      <c r="K201" s="285"/>
      <c r="L201" s="252"/>
      <c r="M201" s="251">
        <v>0</v>
      </c>
    </row>
    <row r="202" spans="1:13" ht="16.5" x14ac:dyDescent="0.3">
      <c r="A202" s="236">
        <v>201</v>
      </c>
      <c r="B202" s="236" t="s">
        <v>35</v>
      </c>
      <c r="C202" s="237" t="s">
        <v>224</v>
      </c>
      <c r="D202" s="238">
        <v>1207</v>
      </c>
      <c r="E202" s="238" t="s">
        <v>174</v>
      </c>
      <c r="F202" s="246">
        <v>88.58</v>
      </c>
      <c r="G202" s="239">
        <v>953.47511999999995</v>
      </c>
      <c r="H202" s="240">
        <v>1048.8226320000001</v>
      </c>
      <c r="I202" s="243" t="s">
        <v>167</v>
      </c>
      <c r="J202" s="240" t="s">
        <v>265</v>
      </c>
      <c r="K202" s="272">
        <v>9772000</v>
      </c>
      <c r="L202" s="274">
        <v>1420096</v>
      </c>
      <c r="M202" s="250">
        <v>8351904</v>
      </c>
    </row>
    <row r="203" spans="1:13" ht="16.5" x14ac:dyDescent="0.3">
      <c r="A203" s="148">
        <v>202</v>
      </c>
      <c r="B203" s="148" t="s">
        <v>35</v>
      </c>
      <c r="C203" s="149" t="s">
        <v>225</v>
      </c>
      <c r="D203" s="150">
        <v>1301</v>
      </c>
      <c r="E203" s="150" t="s">
        <v>173</v>
      </c>
      <c r="F203" s="247">
        <v>33.159999999999997</v>
      </c>
      <c r="G203" s="241">
        <v>356.93423999999993</v>
      </c>
      <c r="H203" s="242">
        <v>392.62766399999998</v>
      </c>
      <c r="I203" s="244" t="s">
        <v>211</v>
      </c>
      <c r="J203" s="242" t="s">
        <v>266</v>
      </c>
      <c r="K203" s="285"/>
      <c r="L203" s="252"/>
      <c r="M203" s="251">
        <v>0</v>
      </c>
    </row>
    <row r="204" spans="1:13" ht="16.5" x14ac:dyDescent="0.3">
      <c r="A204" s="236">
        <v>203</v>
      </c>
      <c r="B204" s="236" t="s">
        <v>35</v>
      </c>
      <c r="C204" s="237" t="s">
        <v>225</v>
      </c>
      <c r="D204" s="238">
        <v>1302</v>
      </c>
      <c r="E204" s="238" t="s">
        <v>172</v>
      </c>
      <c r="F204" s="246">
        <v>62.04</v>
      </c>
      <c r="G204" s="239">
        <v>667.79855999999995</v>
      </c>
      <c r="H204" s="240">
        <v>734.57841600000006</v>
      </c>
      <c r="I204" s="243" t="s">
        <v>211</v>
      </c>
      <c r="J204" s="240" t="s">
        <v>265</v>
      </c>
      <c r="K204" s="267">
        <v>3332000</v>
      </c>
      <c r="L204" s="294">
        <v>2499000</v>
      </c>
      <c r="M204" s="250">
        <v>833000</v>
      </c>
    </row>
    <row r="205" spans="1:13" ht="16.5" x14ac:dyDescent="0.3">
      <c r="A205" s="148">
        <v>204</v>
      </c>
      <c r="B205" s="148" t="s">
        <v>35</v>
      </c>
      <c r="C205" s="149" t="s">
        <v>225</v>
      </c>
      <c r="D205" s="150">
        <v>1304</v>
      </c>
      <c r="E205" s="150" t="s">
        <v>173</v>
      </c>
      <c r="F205" s="247">
        <v>33.159999999999997</v>
      </c>
      <c r="G205" s="241">
        <v>356.93423999999993</v>
      </c>
      <c r="H205" s="242">
        <v>392.62766399999998</v>
      </c>
      <c r="I205" s="244" t="s">
        <v>167</v>
      </c>
      <c r="J205" s="242" t="s">
        <v>266</v>
      </c>
      <c r="K205" s="285"/>
      <c r="L205" s="252"/>
      <c r="M205" s="251">
        <v>0</v>
      </c>
    </row>
    <row r="206" spans="1:13" ht="16.5" x14ac:dyDescent="0.3">
      <c r="A206" s="236">
        <v>205</v>
      </c>
      <c r="B206" s="236" t="s">
        <v>35</v>
      </c>
      <c r="C206" s="237" t="s">
        <v>226</v>
      </c>
      <c r="D206" s="238">
        <v>1401</v>
      </c>
      <c r="E206" s="238" t="s">
        <v>173</v>
      </c>
      <c r="F206" s="246">
        <v>33.159999999999997</v>
      </c>
      <c r="G206" s="239">
        <v>356.93423999999993</v>
      </c>
      <c r="H206" s="240">
        <v>392.62766399999998</v>
      </c>
      <c r="I206" s="243" t="s">
        <v>211</v>
      </c>
      <c r="J206" s="240" t="s">
        <v>266</v>
      </c>
      <c r="K206" s="283"/>
      <c r="L206" s="253"/>
      <c r="M206" s="250">
        <v>0</v>
      </c>
    </row>
    <row r="207" spans="1:13" ht="16.5" x14ac:dyDescent="0.3">
      <c r="A207" s="148">
        <v>206</v>
      </c>
      <c r="B207" s="148" t="s">
        <v>35</v>
      </c>
      <c r="C207" s="149" t="s">
        <v>226</v>
      </c>
      <c r="D207" s="150">
        <v>1403</v>
      </c>
      <c r="E207" s="150" t="s">
        <v>172</v>
      </c>
      <c r="F207" s="247">
        <v>62.04</v>
      </c>
      <c r="G207" s="241">
        <v>667.79855999999995</v>
      </c>
      <c r="H207" s="242">
        <v>734.57841600000006</v>
      </c>
      <c r="I207" s="244" t="s">
        <v>167</v>
      </c>
      <c r="J207" s="242" t="s">
        <v>265</v>
      </c>
      <c r="K207" s="272">
        <v>4816000</v>
      </c>
      <c r="L207" s="274">
        <v>4816000</v>
      </c>
      <c r="M207" s="251">
        <v>0</v>
      </c>
    </row>
    <row r="208" spans="1:13" ht="16.5" x14ac:dyDescent="0.3">
      <c r="A208" s="236">
        <v>207</v>
      </c>
      <c r="B208" s="236" t="s">
        <v>35</v>
      </c>
      <c r="C208" s="237" t="s">
        <v>227</v>
      </c>
      <c r="D208" s="238">
        <v>1502</v>
      </c>
      <c r="E208" s="238" t="s">
        <v>172</v>
      </c>
      <c r="F208" s="246">
        <v>62.04</v>
      </c>
      <c r="G208" s="239">
        <v>667.79855999999995</v>
      </c>
      <c r="H208" s="240">
        <v>734.57841600000006</v>
      </c>
      <c r="I208" s="243" t="s">
        <v>211</v>
      </c>
      <c r="J208" s="240" t="s">
        <v>265</v>
      </c>
      <c r="K208" s="267">
        <v>2072000</v>
      </c>
      <c r="L208" s="294">
        <v>1377750</v>
      </c>
      <c r="M208" s="250">
        <v>694250</v>
      </c>
    </row>
    <row r="209" spans="1:13" ht="16.5" x14ac:dyDescent="0.3">
      <c r="A209" s="148">
        <v>208</v>
      </c>
      <c r="B209" s="148" t="s">
        <v>35</v>
      </c>
      <c r="C209" s="149" t="s">
        <v>227</v>
      </c>
      <c r="D209" s="150">
        <v>1504</v>
      </c>
      <c r="E209" s="150" t="s">
        <v>173</v>
      </c>
      <c r="F209" s="247">
        <v>33.159999999999997</v>
      </c>
      <c r="G209" s="241">
        <v>356.93423999999993</v>
      </c>
      <c r="H209" s="242">
        <v>392.62766399999998</v>
      </c>
      <c r="I209" s="244" t="s">
        <v>211</v>
      </c>
      <c r="J209" s="242" t="s">
        <v>266</v>
      </c>
      <c r="K209" s="285"/>
      <c r="L209" s="252"/>
      <c r="M209" s="251">
        <v>0</v>
      </c>
    </row>
    <row r="210" spans="1:13" ht="16.5" x14ac:dyDescent="0.3">
      <c r="A210" s="236">
        <v>209</v>
      </c>
      <c r="B210" s="236" t="s">
        <v>35</v>
      </c>
      <c r="C210" s="237" t="s">
        <v>228</v>
      </c>
      <c r="D210" s="238">
        <v>1601</v>
      </c>
      <c r="E210" s="238" t="s">
        <v>173</v>
      </c>
      <c r="F210" s="246">
        <v>33.159999999999997</v>
      </c>
      <c r="G210" s="239">
        <v>356.93423999999993</v>
      </c>
      <c r="H210" s="240">
        <v>392.62766399999998</v>
      </c>
      <c r="I210" s="243" t="s">
        <v>211</v>
      </c>
      <c r="J210" s="240" t="s">
        <v>266</v>
      </c>
      <c r="K210" s="283"/>
      <c r="L210" s="253"/>
      <c r="M210" s="250">
        <v>0</v>
      </c>
    </row>
    <row r="211" spans="1:13" ht="16.5" x14ac:dyDescent="0.3">
      <c r="A211" s="148">
        <v>210</v>
      </c>
      <c r="B211" s="148" t="s">
        <v>35</v>
      </c>
      <c r="C211" s="149" t="s">
        <v>228</v>
      </c>
      <c r="D211" s="150">
        <v>1604</v>
      </c>
      <c r="E211" s="150" t="s">
        <v>173</v>
      </c>
      <c r="F211" s="247">
        <v>33.159999999999997</v>
      </c>
      <c r="G211" s="241">
        <v>356.93423999999993</v>
      </c>
      <c r="H211" s="242">
        <v>392.62766399999998</v>
      </c>
      <c r="I211" s="244" t="s">
        <v>167</v>
      </c>
      <c r="J211" s="242" t="s">
        <v>266</v>
      </c>
      <c r="K211" s="285"/>
      <c r="L211" s="252"/>
      <c r="M211" s="251">
        <v>0</v>
      </c>
    </row>
    <row r="212" spans="1:13" ht="16.5" x14ac:dyDescent="0.3">
      <c r="A212" s="236">
        <v>211</v>
      </c>
      <c r="B212" s="236" t="s">
        <v>35</v>
      </c>
      <c r="C212" s="237" t="s">
        <v>229</v>
      </c>
      <c r="D212" s="238">
        <v>1701</v>
      </c>
      <c r="E212" s="238" t="s">
        <v>173</v>
      </c>
      <c r="F212" s="246">
        <v>33.159999999999997</v>
      </c>
      <c r="G212" s="239">
        <v>356.93423999999993</v>
      </c>
      <c r="H212" s="240">
        <v>392.62766399999998</v>
      </c>
      <c r="I212" s="243" t="s">
        <v>211</v>
      </c>
      <c r="J212" s="240" t="s">
        <v>266</v>
      </c>
      <c r="K212" s="283"/>
      <c r="L212" s="253"/>
      <c r="M212" s="250">
        <v>0</v>
      </c>
    </row>
    <row r="213" spans="1:13" ht="16.5" x14ac:dyDescent="0.3">
      <c r="A213" s="148">
        <v>212</v>
      </c>
      <c r="B213" s="148" t="s">
        <v>35</v>
      </c>
      <c r="C213" s="149" t="s">
        <v>229</v>
      </c>
      <c r="D213" s="150">
        <v>1704</v>
      </c>
      <c r="E213" s="150" t="s">
        <v>173</v>
      </c>
      <c r="F213" s="247">
        <v>33.159999999999997</v>
      </c>
      <c r="G213" s="241">
        <v>356.93423999999993</v>
      </c>
      <c r="H213" s="242">
        <v>392.62766399999998</v>
      </c>
      <c r="I213" s="244" t="s">
        <v>211</v>
      </c>
      <c r="J213" s="242" t="s">
        <v>265</v>
      </c>
      <c r="K213" s="267">
        <v>74000</v>
      </c>
      <c r="L213" s="293">
        <v>74000</v>
      </c>
      <c r="M213" s="251">
        <v>0</v>
      </c>
    </row>
    <row r="214" spans="1:13" ht="16.5" x14ac:dyDescent="0.3">
      <c r="A214" s="236">
        <v>213</v>
      </c>
      <c r="B214" s="236" t="s">
        <v>35</v>
      </c>
      <c r="C214" s="237" t="s">
        <v>230</v>
      </c>
      <c r="D214" s="238">
        <v>1801</v>
      </c>
      <c r="E214" s="238" t="s">
        <v>173</v>
      </c>
      <c r="F214" s="246">
        <v>33.159999999999997</v>
      </c>
      <c r="G214" s="239">
        <v>356.93423999999993</v>
      </c>
      <c r="H214" s="240">
        <v>392.62766399999998</v>
      </c>
      <c r="I214" s="243" t="s">
        <v>211</v>
      </c>
      <c r="J214" s="240" t="s">
        <v>266</v>
      </c>
      <c r="K214" s="283"/>
      <c r="L214" s="253"/>
      <c r="M214" s="250">
        <v>0</v>
      </c>
    </row>
    <row r="215" spans="1:13" ht="16.5" x14ac:dyDescent="0.3">
      <c r="A215" s="148">
        <v>214</v>
      </c>
      <c r="B215" s="148" t="s">
        <v>35</v>
      </c>
      <c r="C215" s="149" t="s">
        <v>230</v>
      </c>
      <c r="D215" s="150">
        <v>1803</v>
      </c>
      <c r="E215" s="150" t="s">
        <v>172</v>
      </c>
      <c r="F215" s="247">
        <v>62.04</v>
      </c>
      <c r="G215" s="241">
        <v>667.79855999999995</v>
      </c>
      <c r="H215" s="242">
        <v>734.57841600000006</v>
      </c>
      <c r="I215" s="244" t="s">
        <v>211</v>
      </c>
      <c r="J215" s="242" t="s">
        <v>265</v>
      </c>
      <c r="K215" s="267">
        <v>3422500</v>
      </c>
      <c r="L215" s="293">
        <v>2999005</v>
      </c>
      <c r="M215" s="251">
        <v>423495</v>
      </c>
    </row>
    <row r="216" spans="1:13" ht="16.5" x14ac:dyDescent="0.3">
      <c r="A216" s="236">
        <v>215</v>
      </c>
      <c r="B216" s="236" t="s">
        <v>35</v>
      </c>
      <c r="C216" s="237" t="s">
        <v>230</v>
      </c>
      <c r="D216" s="238">
        <v>1804</v>
      </c>
      <c r="E216" s="238" t="s">
        <v>173</v>
      </c>
      <c r="F216" s="246">
        <v>33.159999999999997</v>
      </c>
      <c r="G216" s="239">
        <v>356.93423999999993</v>
      </c>
      <c r="H216" s="240">
        <v>392.62766399999998</v>
      </c>
      <c r="I216" s="243" t="s">
        <v>211</v>
      </c>
      <c r="J216" s="240" t="s">
        <v>266</v>
      </c>
      <c r="K216" s="283"/>
      <c r="L216" s="253"/>
      <c r="M216" s="250">
        <v>0</v>
      </c>
    </row>
    <row r="217" spans="1:13" ht="16.5" x14ac:dyDescent="0.3">
      <c r="A217" s="148">
        <v>216</v>
      </c>
      <c r="B217" s="148" t="s">
        <v>35</v>
      </c>
      <c r="C217" s="149" t="s">
        <v>231</v>
      </c>
      <c r="D217" s="150">
        <v>1904</v>
      </c>
      <c r="E217" s="150" t="s">
        <v>173</v>
      </c>
      <c r="F217" s="247">
        <v>33.159999999999997</v>
      </c>
      <c r="G217" s="241">
        <v>356.93423999999993</v>
      </c>
      <c r="H217" s="242">
        <v>392.62766399999998</v>
      </c>
      <c r="I217" s="244" t="s">
        <v>211</v>
      </c>
      <c r="J217" s="242" t="s">
        <v>266</v>
      </c>
      <c r="K217" s="285"/>
      <c r="L217" s="252"/>
      <c r="M217" s="251">
        <v>0</v>
      </c>
    </row>
    <row r="218" spans="1:13" ht="16.5" x14ac:dyDescent="0.3">
      <c r="A218" s="264" t="s">
        <v>32</v>
      </c>
      <c r="B218" s="264"/>
      <c r="C218" s="264"/>
      <c r="D218" s="264"/>
      <c r="E218" s="264"/>
      <c r="F218" s="133">
        <f>SUM(F2:F217)</f>
        <v>9503.8900000000031</v>
      </c>
      <c r="G218" s="133">
        <f t="shared" ref="G218:H218" si="0">SUM(G2:G217)</f>
        <v>102299.87196000011</v>
      </c>
      <c r="H218" s="133">
        <f t="shared" si="0"/>
        <v>112010.65761600008</v>
      </c>
      <c r="I218" s="249"/>
      <c r="J218" s="249"/>
      <c r="K218" s="133">
        <f>SUM(K2:K217)</f>
        <v>194199968</v>
      </c>
      <c r="L218" s="133">
        <f>ROUND(SUM(L2:L217),0)</f>
        <v>98502191</v>
      </c>
      <c r="M218" s="133">
        <f>ROUND(SUM(M2:M217),0)</f>
        <v>95697777</v>
      </c>
    </row>
  </sheetData>
  <mergeCells count="1">
    <mergeCell ref="A218:E218"/>
  </mergeCells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0BEECE-9F72-4E89-AED8-F594C7519D56}">
  <dimension ref="A1:J218"/>
  <sheetViews>
    <sheetView workbookViewId="0">
      <selection activeCell="K1" sqref="K1:M218"/>
    </sheetView>
  </sheetViews>
  <sheetFormatPr defaultRowHeight="14.25" x14ac:dyDescent="0.2"/>
  <cols>
    <col min="1" max="1" width="3.5" bestFit="1" customWidth="1"/>
    <col min="2" max="2" width="4.75" bestFit="1" customWidth="1"/>
    <col min="3" max="3" width="13.875" customWidth="1"/>
    <col min="5" max="5" width="5.75" bestFit="1" customWidth="1"/>
    <col min="6" max="6" width="11" customWidth="1"/>
    <col min="7" max="7" width="11.25" customWidth="1"/>
    <col min="8" max="8" width="11.5" customWidth="1"/>
    <col min="9" max="9" width="12.25" customWidth="1"/>
    <col min="10" max="10" width="13.75" customWidth="1"/>
    <col min="11" max="11" width="14.25" customWidth="1"/>
    <col min="12" max="12" width="13.625" customWidth="1"/>
    <col min="13" max="13" width="15.5" customWidth="1"/>
  </cols>
  <sheetData>
    <row r="1" spans="1:10" ht="49.5" x14ac:dyDescent="0.2">
      <c r="A1" s="275" t="s">
        <v>276</v>
      </c>
      <c r="B1" s="275" t="s">
        <v>65</v>
      </c>
      <c r="C1" s="275" t="s">
        <v>62</v>
      </c>
      <c r="D1" s="275" t="s">
        <v>49</v>
      </c>
      <c r="E1" s="275" t="s">
        <v>233</v>
      </c>
      <c r="F1" s="275" t="s">
        <v>246</v>
      </c>
      <c r="G1" s="275" t="s">
        <v>160</v>
      </c>
      <c r="H1" s="275" t="s">
        <v>268</v>
      </c>
      <c r="I1" s="275" t="s">
        <v>234</v>
      </c>
      <c r="J1" s="275" t="s">
        <v>257</v>
      </c>
    </row>
    <row r="2" spans="1:10" ht="16.5" x14ac:dyDescent="0.3">
      <c r="A2" s="276">
        <v>1</v>
      </c>
      <c r="B2" s="276" t="s">
        <v>34</v>
      </c>
      <c r="C2" s="277" t="s">
        <v>213</v>
      </c>
      <c r="D2" s="278">
        <v>105</v>
      </c>
      <c r="E2" s="278" t="s">
        <v>251</v>
      </c>
      <c r="F2" s="282">
        <v>44.07</v>
      </c>
      <c r="G2" s="282">
        <v>474.36947999999995</v>
      </c>
      <c r="H2" s="283">
        <v>521.80642799999998</v>
      </c>
      <c r="I2" s="278" t="s">
        <v>211</v>
      </c>
      <c r="J2" s="283" t="s">
        <v>265</v>
      </c>
    </row>
    <row r="3" spans="1:10" ht="16.5" x14ac:dyDescent="0.3">
      <c r="A3" s="279">
        <v>2</v>
      </c>
      <c r="B3" s="279" t="s">
        <v>34</v>
      </c>
      <c r="C3" s="280" t="s">
        <v>213</v>
      </c>
      <c r="D3" s="281">
        <v>106</v>
      </c>
      <c r="E3" s="281" t="s">
        <v>251</v>
      </c>
      <c r="F3" s="284">
        <v>44.13</v>
      </c>
      <c r="G3" s="284">
        <v>475.01531999999997</v>
      </c>
      <c r="H3" s="285">
        <v>522.51685199999997</v>
      </c>
      <c r="I3" s="281" t="s">
        <v>211</v>
      </c>
      <c r="J3" s="285" t="s">
        <v>266</v>
      </c>
    </row>
    <row r="4" spans="1:10" ht="16.5" x14ac:dyDescent="0.3">
      <c r="A4" s="276">
        <v>3</v>
      </c>
      <c r="B4" s="276" t="s">
        <v>34</v>
      </c>
      <c r="C4" s="277" t="s">
        <v>213</v>
      </c>
      <c r="D4" s="278">
        <v>107</v>
      </c>
      <c r="E4" s="278" t="s">
        <v>253</v>
      </c>
      <c r="F4" s="282">
        <v>33.01</v>
      </c>
      <c r="G4" s="282">
        <v>355.31963999999994</v>
      </c>
      <c r="H4" s="283">
        <v>390.85160399999995</v>
      </c>
      <c r="I4" s="278" t="s">
        <v>211</v>
      </c>
      <c r="J4" s="283" t="s">
        <v>266</v>
      </c>
    </row>
    <row r="5" spans="1:10" ht="16.5" x14ac:dyDescent="0.3">
      <c r="A5" s="279">
        <v>4</v>
      </c>
      <c r="B5" s="279" t="s">
        <v>34</v>
      </c>
      <c r="C5" s="280" t="s">
        <v>213</v>
      </c>
      <c r="D5" s="281">
        <v>108</v>
      </c>
      <c r="E5" s="281" t="s">
        <v>251</v>
      </c>
      <c r="F5" s="284">
        <v>50.84</v>
      </c>
      <c r="G5" s="284">
        <v>547.24176</v>
      </c>
      <c r="H5" s="285">
        <v>601.96593600000006</v>
      </c>
      <c r="I5" s="281" t="s">
        <v>211</v>
      </c>
      <c r="J5" s="285" t="s">
        <v>265</v>
      </c>
    </row>
    <row r="6" spans="1:10" ht="16.5" x14ac:dyDescent="0.3">
      <c r="A6" s="276">
        <v>5</v>
      </c>
      <c r="B6" s="276" t="s">
        <v>34</v>
      </c>
      <c r="C6" s="277" t="s">
        <v>213</v>
      </c>
      <c r="D6" s="278">
        <v>109</v>
      </c>
      <c r="E6" s="278" t="s">
        <v>253</v>
      </c>
      <c r="F6" s="282">
        <v>32.799999999999997</v>
      </c>
      <c r="G6" s="282">
        <v>353.05919999999998</v>
      </c>
      <c r="H6" s="283">
        <v>388.36511999999999</v>
      </c>
      <c r="I6" s="278" t="s">
        <v>211</v>
      </c>
      <c r="J6" s="283" t="s">
        <v>266</v>
      </c>
    </row>
    <row r="7" spans="1:10" ht="16.5" x14ac:dyDescent="0.3">
      <c r="A7" s="279">
        <v>6</v>
      </c>
      <c r="B7" s="279" t="s">
        <v>34</v>
      </c>
      <c r="C7" s="280" t="s">
        <v>213</v>
      </c>
      <c r="D7" s="281">
        <v>110</v>
      </c>
      <c r="E7" s="281" t="s">
        <v>253</v>
      </c>
      <c r="F7" s="284">
        <v>33.01</v>
      </c>
      <c r="G7" s="284">
        <v>355.31963999999994</v>
      </c>
      <c r="H7" s="285">
        <v>390.85160399999995</v>
      </c>
      <c r="I7" s="281" t="s">
        <v>211</v>
      </c>
      <c r="J7" s="285" t="s">
        <v>266</v>
      </c>
    </row>
    <row r="8" spans="1:10" ht="16.5" x14ac:dyDescent="0.3">
      <c r="A8" s="276">
        <v>7</v>
      </c>
      <c r="B8" s="276" t="s">
        <v>34</v>
      </c>
      <c r="C8" s="277" t="s">
        <v>214</v>
      </c>
      <c r="D8" s="278">
        <v>201</v>
      </c>
      <c r="E8" s="278" t="s">
        <v>251</v>
      </c>
      <c r="F8" s="282">
        <v>44.07</v>
      </c>
      <c r="G8" s="282">
        <v>474.36947999999995</v>
      </c>
      <c r="H8" s="283">
        <v>521.80642799999998</v>
      </c>
      <c r="I8" s="278" t="s">
        <v>211</v>
      </c>
      <c r="J8" s="283" t="s">
        <v>266</v>
      </c>
    </row>
    <row r="9" spans="1:10" ht="16.5" x14ac:dyDescent="0.3">
      <c r="A9" s="279">
        <v>8</v>
      </c>
      <c r="B9" s="279" t="s">
        <v>34</v>
      </c>
      <c r="C9" s="280" t="s">
        <v>214</v>
      </c>
      <c r="D9" s="281">
        <v>202</v>
      </c>
      <c r="E9" s="281" t="s">
        <v>251</v>
      </c>
      <c r="F9" s="284">
        <v>44.07</v>
      </c>
      <c r="G9" s="284">
        <v>474.36947999999995</v>
      </c>
      <c r="H9" s="285">
        <v>521.80642799999998</v>
      </c>
      <c r="I9" s="281" t="s">
        <v>211</v>
      </c>
      <c r="J9" s="285" t="s">
        <v>266</v>
      </c>
    </row>
    <row r="10" spans="1:10" ht="16.5" x14ac:dyDescent="0.3">
      <c r="A10" s="276">
        <v>9</v>
      </c>
      <c r="B10" s="276" t="s">
        <v>34</v>
      </c>
      <c r="C10" s="277" t="s">
        <v>214</v>
      </c>
      <c r="D10" s="278">
        <v>204</v>
      </c>
      <c r="E10" s="278" t="s">
        <v>254</v>
      </c>
      <c r="F10" s="282">
        <v>66.650000000000006</v>
      </c>
      <c r="G10" s="282">
        <v>717.42060000000004</v>
      </c>
      <c r="H10" s="283">
        <v>789.16266000000007</v>
      </c>
      <c r="I10" s="278" t="s">
        <v>211</v>
      </c>
      <c r="J10" s="283" t="s">
        <v>265</v>
      </c>
    </row>
    <row r="11" spans="1:10" ht="16.5" x14ac:dyDescent="0.3">
      <c r="A11" s="279">
        <v>10</v>
      </c>
      <c r="B11" s="279" t="s">
        <v>34</v>
      </c>
      <c r="C11" s="280" t="s">
        <v>214</v>
      </c>
      <c r="D11" s="281">
        <v>205</v>
      </c>
      <c r="E11" s="281" t="s">
        <v>251</v>
      </c>
      <c r="F11" s="284">
        <v>44.07</v>
      </c>
      <c r="G11" s="284">
        <v>474.36947999999995</v>
      </c>
      <c r="H11" s="285">
        <v>521.80642799999998</v>
      </c>
      <c r="I11" s="281" t="s">
        <v>211</v>
      </c>
      <c r="J11" s="285" t="s">
        <v>266</v>
      </c>
    </row>
    <row r="12" spans="1:10" ht="16.5" x14ac:dyDescent="0.3">
      <c r="A12" s="276">
        <v>11</v>
      </c>
      <c r="B12" s="276" t="s">
        <v>34</v>
      </c>
      <c r="C12" s="277" t="s">
        <v>214</v>
      </c>
      <c r="D12" s="278">
        <v>206</v>
      </c>
      <c r="E12" s="278" t="s">
        <v>251</v>
      </c>
      <c r="F12" s="282">
        <v>44.07</v>
      </c>
      <c r="G12" s="282">
        <v>474.36947999999995</v>
      </c>
      <c r="H12" s="283">
        <v>521.80642799999998</v>
      </c>
      <c r="I12" s="278" t="s">
        <v>211</v>
      </c>
      <c r="J12" s="283" t="s">
        <v>266</v>
      </c>
    </row>
    <row r="13" spans="1:10" ht="16.5" x14ac:dyDescent="0.3">
      <c r="A13" s="279">
        <v>12</v>
      </c>
      <c r="B13" s="279" t="s">
        <v>34</v>
      </c>
      <c r="C13" s="280" t="s">
        <v>214</v>
      </c>
      <c r="D13" s="281">
        <v>207</v>
      </c>
      <c r="E13" s="281" t="s">
        <v>253</v>
      </c>
      <c r="F13" s="284">
        <v>33.01</v>
      </c>
      <c r="G13" s="284">
        <v>355.31963999999994</v>
      </c>
      <c r="H13" s="285">
        <v>390.85160399999995</v>
      </c>
      <c r="I13" s="281" t="s">
        <v>211</v>
      </c>
      <c r="J13" s="285" t="s">
        <v>266</v>
      </c>
    </row>
    <row r="14" spans="1:10" ht="16.5" x14ac:dyDescent="0.3">
      <c r="A14" s="276">
        <v>13</v>
      </c>
      <c r="B14" s="276" t="s">
        <v>34</v>
      </c>
      <c r="C14" s="277" t="s">
        <v>214</v>
      </c>
      <c r="D14" s="278">
        <v>208</v>
      </c>
      <c r="E14" s="278" t="s">
        <v>251</v>
      </c>
      <c r="F14" s="282">
        <v>50.84</v>
      </c>
      <c r="G14" s="282">
        <v>547.24176</v>
      </c>
      <c r="H14" s="283">
        <v>601.96593600000006</v>
      </c>
      <c r="I14" s="278" t="s">
        <v>211</v>
      </c>
      <c r="J14" s="283" t="s">
        <v>265</v>
      </c>
    </row>
    <row r="15" spans="1:10" ht="16.5" x14ac:dyDescent="0.3">
      <c r="A15" s="279">
        <v>14</v>
      </c>
      <c r="B15" s="279" t="s">
        <v>34</v>
      </c>
      <c r="C15" s="280" t="s">
        <v>214</v>
      </c>
      <c r="D15" s="281">
        <v>209</v>
      </c>
      <c r="E15" s="281" t="s">
        <v>253</v>
      </c>
      <c r="F15" s="284">
        <v>32.799999999999997</v>
      </c>
      <c r="G15" s="284">
        <v>353.05919999999998</v>
      </c>
      <c r="H15" s="285">
        <v>388.36511999999999</v>
      </c>
      <c r="I15" s="281" t="s">
        <v>211</v>
      </c>
      <c r="J15" s="285" t="s">
        <v>266</v>
      </c>
    </row>
    <row r="16" spans="1:10" ht="16.5" x14ac:dyDescent="0.3">
      <c r="A16" s="276">
        <v>15</v>
      </c>
      <c r="B16" s="276" t="s">
        <v>34</v>
      </c>
      <c r="C16" s="277" t="s">
        <v>214</v>
      </c>
      <c r="D16" s="278">
        <v>210</v>
      </c>
      <c r="E16" s="278" t="s">
        <v>253</v>
      </c>
      <c r="F16" s="282">
        <v>33.01</v>
      </c>
      <c r="G16" s="282">
        <v>355.31963999999994</v>
      </c>
      <c r="H16" s="283">
        <v>390.85160399999995</v>
      </c>
      <c r="I16" s="278" t="s">
        <v>211</v>
      </c>
      <c r="J16" s="283" t="s">
        <v>266</v>
      </c>
    </row>
    <row r="17" spans="1:10" ht="16.5" x14ac:dyDescent="0.3">
      <c r="A17" s="279">
        <v>16</v>
      </c>
      <c r="B17" s="279" t="s">
        <v>34</v>
      </c>
      <c r="C17" s="280" t="s">
        <v>215</v>
      </c>
      <c r="D17" s="281">
        <v>301</v>
      </c>
      <c r="E17" s="281" t="s">
        <v>251</v>
      </c>
      <c r="F17" s="284">
        <v>43.85</v>
      </c>
      <c r="G17" s="284">
        <v>472.00139999999999</v>
      </c>
      <c r="H17" s="285">
        <v>519.20154000000002</v>
      </c>
      <c r="I17" s="281" t="s">
        <v>211</v>
      </c>
      <c r="J17" s="285" t="s">
        <v>266</v>
      </c>
    </row>
    <row r="18" spans="1:10" ht="16.5" x14ac:dyDescent="0.3">
      <c r="A18" s="276">
        <v>17</v>
      </c>
      <c r="B18" s="276" t="s">
        <v>34</v>
      </c>
      <c r="C18" s="277" t="s">
        <v>215</v>
      </c>
      <c r="D18" s="278">
        <v>302</v>
      </c>
      <c r="E18" s="278" t="s">
        <v>251</v>
      </c>
      <c r="F18" s="282">
        <v>44.07</v>
      </c>
      <c r="G18" s="282">
        <v>474.36947999999995</v>
      </c>
      <c r="H18" s="283">
        <v>521.80642799999998</v>
      </c>
      <c r="I18" s="278" t="s">
        <v>211</v>
      </c>
      <c r="J18" s="283" t="s">
        <v>266</v>
      </c>
    </row>
    <row r="19" spans="1:10" ht="16.5" x14ac:dyDescent="0.3">
      <c r="A19" s="279">
        <v>18</v>
      </c>
      <c r="B19" s="279" t="s">
        <v>34</v>
      </c>
      <c r="C19" s="280" t="s">
        <v>215</v>
      </c>
      <c r="D19" s="281">
        <v>303</v>
      </c>
      <c r="E19" s="281" t="s">
        <v>251</v>
      </c>
      <c r="F19" s="284">
        <v>44.07</v>
      </c>
      <c r="G19" s="284">
        <v>474.36947999999995</v>
      </c>
      <c r="H19" s="285">
        <v>521.80642799999998</v>
      </c>
      <c r="I19" s="281" t="s">
        <v>211</v>
      </c>
      <c r="J19" s="285" t="s">
        <v>265</v>
      </c>
    </row>
    <row r="20" spans="1:10" ht="16.5" x14ac:dyDescent="0.3">
      <c r="A20" s="276">
        <v>19</v>
      </c>
      <c r="B20" s="276" t="s">
        <v>34</v>
      </c>
      <c r="C20" s="277" t="s">
        <v>215</v>
      </c>
      <c r="D20" s="278">
        <v>305</v>
      </c>
      <c r="E20" s="278" t="s">
        <v>254</v>
      </c>
      <c r="F20" s="282">
        <v>66.650000000000006</v>
      </c>
      <c r="G20" s="282">
        <v>717.42060000000004</v>
      </c>
      <c r="H20" s="283">
        <v>789.16266000000007</v>
      </c>
      <c r="I20" s="278" t="s">
        <v>211</v>
      </c>
      <c r="J20" s="283" t="s">
        <v>266</v>
      </c>
    </row>
    <row r="21" spans="1:10" ht="16.5" x14ac:dyDescent="0.3">
      <c r="A21" s="279">
        <v>20</v>
      </c>
      <c r="B21" s="279" t="s">
        <v>34</v>
      </c>
      <c r="C21" s="280" t="s">
        <v>215</v>
      </c>
      <c r="D21" s="281">
        <v>306</v>
      </c>
      <c r="E21" s="281" t="s">
        <v>251</v>
      </c>
      <c r="F21" s="284">
        <v>44.07</v>
      </c>
      <c r="G21" s="284">
        <v>474.36947999999995</v>
      </c>
      <c r="H21" s="285">
        <v>521.80642799999998</v>
      </c>
      <c r="I21" s="281" t="s">
        <v>211</v>
      </c>
      <c r="J21" s="285" t="s">
        <v>265</v>
      </c>
    </row>
    <row r="22" spans="1:10" ht="16.5" x14ac:dyDescent="0.3">
      <c r="A22" s="276">
        <v>21</v>
      </c>
      <c r="B22" s="276" t="s">
        <v>34</v>
      </c>
      <c r="C22" s="277" t="s">
        <v>215</v>
      </c>
      <c r="D22" s="278">
        <v>307</v>
      </c>
      <c r="E22" s="278" t="s">
        <v>251</v>
      </c>
      <c r="F22" s="282">
        <v>44.07</v>
      </c>
      <c r="G22" s="282">
        <v>474.36947999999995</v>
      </c>
      <c r="H22" s="283">
        <v>521.80642799999998</v>
      </c>
      <c r="I22" s="278" t="s">
        <v>211</v>
      </c>
      <c r="J22" s="283" t="s">
        <v>266</v>
      </c>
    </row>
    <row r="23" spans="1:10" ht="16.5" x14ac:dyDescent="0.3">
      <c r="A23" s="279">
        <v>22</v>
      </c>
      <c r="B23" s="279" t="s">
        <v>34</v>
      </c>
      <c r="C23" s="280" t="s">
        <v>215</v>
      </c>
      <c r="D23" s="281">
        <v>308</v>
      </c>
      <c r="E23" s="281" t="s">
        <v>253</v>
      </c>
      <c r="F23" s="284">
        <v>33.01</v>
      </c>
      <c r="G23" s="284">
        <v>355.31963999999994</v>
      </c>
      <c r="H23" s="285">
        <v>390.85160399999995</v>
      </c>
      <c r="I23" s="281" t="s">
        <v>211</v>
      </c>
      <c r="J23" s="285" t="s">
        <v>265</v>
      </c>
    </row>
    <row r="24" spans="1:10" ht="16.5" x14ac:dyDescent="0.3">
      <c r="A24" s="276">
        <v>23</v>
      </c>
      <c r="B24" s="276" t="s">
        <v>34</v>
      </c>
      <c r="C24" s="277" t="s">
        <v>215</v>
      </c>
      <c r="D24" s="278">
        <v>309</v>
      </c>
      <c r="E24" s="278" t="s">
        <v>251</v>
      </c>
      <c r="F24" s="282">
        <v>50.84</v>
      </c>
      <c r="G24" s="282">
        <v>547.24176</v>
      </c>
      <c r="H24" s="283">
        <v>601.96593600000006</v>
      </c>
      <c r="I24" s="278" t="s">
        <v>211</v>
      </c>
      <c r="J24" s="283" t="s">
        <v>266</v>
      </c>
    </row>
    <row r="25" spans="1:10" ht="16.5" x14ac:dyDescent="0.3">
      <c r="A25" s="279">
        <v>24</v>
      </c>
      <c r="B25" s="279" t="s">
        <v>34</v>
      </c>
      <c r="C25" s="280" t="s">
        <v>215</v>
      </c>
      <c r="D25" s="281">
        <v>310</v>
      </c>
      <c r="E25" s="281" t="s">
        <v>253</v>
      </c>
      <c r="F25" s="284">
        <v>32.799999999999997</v>
      </c>
      <c r="G25" s="284">
        <v>353.05919999999998</v>
      </c>
      <c r="H25" s="285">
        <v>388.36511999999999</v>
      </c>
      <c r="I25" s="281" t="s">
        <v>211</v>
      </c>
      <c r="J25" s="285" t="s">
        <v>266</v>
      </c>
    </row>
    <row r="26" spans="1:10" ht="16.5" x14ac:dyDescent="0.3">
      <c r="A26" s="276">
        <v>25</v>
      </c>
      <c r="B26" s="276" t="s">
        <v>34</v>
      </c>
      <c r="C26" s="277" t="s">
        <v>216</v>
      </c>
      <c r="D26" s="278">
        <v>401</v>
      </c>
      <c r="E26" s="278" t="s">
        <v>251</v>
      </c>
      <c r="F26" s="282">
        <v>44.07</v>
      </c>
      <c r="G26" s="282">
        <v>474.36947999999995</v>
      </c>
      <c r="H26" s="283">
        <v>521.80642799999998</v>
      </c>
      <c r="I26" s="278" t="s">
        <v>211</v>
      </c>
      <c r="J26" s="283" t="s">
        <v>266</v>
      </c>
    </row>
    <row r="27" spans="1:10" ht="16.5" x14ac:dyDescent="0.3">
      <c r="A27" s="279">
        <v>26</v>
      </c>
      <c r="B27" s="279" t="s">
        <v>34</v>
      </c>
      <c r="C27" s="280" t="s">
        <v>216</v>
      </c>
      <c r="D27" s="281">
        <v>402</v>
      </c>
      <c r="E27" s="281" t="s">
        <v>251</v>
      </c>
      <c r="F27" s="284">
        <v>44.07</v>
      </c>
      <c r="G27" s="284">
        <v>474.36947999999995</v>
      </c>
      <c r="H27" s="285">
        <v>521.80642799999998</v>
      </c>
      <c r="I27" s="281" t="s">
        <v>211</v>
      </c>
      <c r="J27" s="285" t="s">
        <v>266</v>
      </c>
    </row>
    <row r="28" spans="1:10" ht="16.5" x14ac:dyDescent="0.3">
      <c r="A28" s="276">
        <v>27</v>
      </c>
      <c r="B28" s="276" t="s">
        <v>34</v>
      </c>
      <c r="C28" s="277" t="s">
        <v>216</v>
      </c>
      <c r="D28" s="278">
        <v>405</v>
      </c>
      <c r="E28" s="278" t="s">
        <v>251</v>
      </c>
      <c r="F28" s="282">
        <v>44.07</v>
      </c>
      <c r="G28" s="282">
        <v>474.36947999999995</v>
      </c>
      <c r="H28" s="283">
        <v>521.80642799999998</v>
      </c>
      <c r="I28" s="278" t="s">
        <v>211</v>
      </c>
      <c r="J28" s="283" t="s">
        <v>266</v>
      </c>
    </row>
    <row r="29" spans="1:10" ht="16.5" x14ac:dyDescent="0.3">
      <c r="A29" s="279">
        <v>28</v>
      </c>
      <c r="B29" s="279" t="s">
        <v>34</v>
      </c>
      <c r="C29" s="280" t="s">
        <v>216</v>
      </c>
      <c r="D29" s="281">
        <v>406</v>
      </c>
      <c r="E29" s="281" t="s">
        <v>251</v>
      </c>
      <c r="F29" s="284">
        <v>44.13</v>
      </c>
      <c r="G29" s="284">
        <v>475.01531999999997</v>
      </c>
      <c r="H29" s="285">
        <v>522.51685199999997</v>
      </c>
      <c r="I29" s="281" t="s">
        <v>211</v>
      </c>
      <c r="J29" s="285" t="s">
        <v>266</v>
      </c>
    </row>
    <row r="30" spans="1:10" ht="16.5" x14ac:dyDescent="0.3">
      <c r="A30" s="276">
        <v>29</v>
      </c>
      <c r="B30" s="276" t="s">
        <v>34</v>
      </c>
      <c r="C30" s="277" t="s">
        <v>216</v>
      </c>
      <c r="D30" s="278">
        <v>407</v>
      </c>
      <c r="E30" s="278" t="s">
        <v>253</v>
      </c>
      <c r="F30" s="282">
        <v>33.01</v>
      </c>
      <c r="G30" s="282">
        <v>355.31963999999994</v>
      </c>
      <c r="H30" s="283">
        <v>390.85160399999995</v>
      </c>
      <c r="I30" s="278" t="s">
        <v>211</v>
      </c>
      <c r="J30" s="283" t="s">
        <v>266</v>
      </c>
    </row>
    <row r="31" spans="1:10" ht="16.5" x14ac:dyDescent="0.3">
      <c r="A31" s="279">
        <v>30</v>
      </c>
      <c r="B31" s="279" t="s">
        <v>34</v>
      </c>
      <c r="C31" s="280" t="s">
        <v>216</v>
      </c>
      <c r="D31" s="281">
        <v>408</v>
      </c>
      <c r="E31" s="281" t="s">
        <v>251</v>
      </c>
      <c r="F31" s="284">
        <v>50.84</v>
      </c>
      <c r="G31" s="284">
        <v>547.24176</v>
      </c>
      <c r="H31" s="285">
        <v>601.96593600000006</v>
      </c>
      <c r="I31" s="281" t="s">
        <v>211</v>
      </c>
      <c r="J31" s="285" t="s">
        <v>265</v>
      </c>
    </row>
    <row r="32" spans="1:10" ht="16.5" x14ac:dyDescent="0.3">
      <c r="A32" s="276">
        <v>31</v>
      </c>
      <c r="B32" s="276" t="s">
        <v>34</v>
      </c>
      <c r="C32" s="277" t="s">
        <v>216</v>
      </c>
      <c r="D32" s="278">
        <v>409</v>
      </c>
      <c r="E32" s="278" t="s">
        <v>253</v>
      </c>
      <c r="F32" s="282">
        <v>32.799999999999997</v>
      </c>
      <c r="G32" s="282">
        <v>353.05919999999998</v>
      </c>
      <c r="H32" s="283">
        <v>388.36511999999999</v>
      </c>
      <c r="I32" s="278" t="s">
        <v>211</v>
      </c>
      <c r="J32" s="283" t="s">
        <v>266</v>
      </c>
    </row>
    <row r="33" spans="1:10" ht="16.5" x14ac:dyDescent="0.3">
      <c r="A33" s="279">
        <v>32</v>
      </c>
      <c r="B33" s="279" t="s">
        <v>34</v>
      </c>
      <c r="C33" s="280" t="s">
        <v>216</v>
      </c>
      <c r="D33" s="281">
        <v>410</v>
      </c>
      <c r="E33" s="281" t="s">
        <v>253</v>
      </c>
      <c r="F33" s="284">
        <v>33.01</v>
      </c>
      <c r="G33" s="284">
        <v>355.31963999999994</v>
      </c>
      <c r="H33" s="285">
        <v>390.85160399999995</v>
      </c>
      <c r="I33" s="281" t="s">
        <v>211</v>
      </c>
      <c r="J33" s="285" t="s">
        <v>266</v>
      </c>
    </row>
    <row r="34" spans="1:10" ht="16.5" x14ac:dyDescent="0.3">
      <c r="A34" s="276">
        <v>33</v>
      </c>
      <c r="B34" s="276" t="s">
        <v>34</v>
      </c>
      <c r="C34" s="277" t="s">
        <v>217</v>
      </c>
      <c r="D34" s="278">
        <v>501</v>
      </c>
      <c r="E34" s="278" t="s">
        <v>251</v>
      </c>
      <c r="F34" s="282">
        <v>44.07</v>
      </c>
      <c r="G34" s="282">
        <v>474.36947999999995</v>
      </c>
      <c r="H34" s="283">
        <v>521.80642799999998</v>
      </c>
      <c r="I34" s="278" t="s">
        <v>211</v>
      </c>
      <c r="J34" s="283" t="s">
        <v>266</v>
      </c>
    </row>
    <row r="35" spans="1:10" ht="16.5" x14ac:dyDescent="0.3">
      <c r="A35" s="279">
        <v>34</v>
      </c>
      <c r="B35" s="279" t="s">
        <v>34</v>
      </c>
      <c r="C35" s="280" t="s">
        <v>217</v>
      </c>
      <c r="D35" s="281">
        <v>502</v>
      </c>
      <c r="E35" s="281" t="s">
        <v>251</v>
      </c>
      <c r="F35" s="284">
        <v>44.07</v>
      </c>
      <c r="G35" s="284">
        <v>474.36947999999995</v>
      </c>
      <c r="H35" s="285">
        <v>521.80642799999998</v>
      </c>
      <c r="I35" s="281" t="s">
        <v>211</v>
      </c>
      <c r="J35" s="285" t="s">
        <v>266</v>
      </c>
    </row>
    <row r="36" spans="1:10" ht="16.5" x14ac:dyDescent="0.3">
      <c r="A36" s="276">
        <v>35</v>
      </c>
      <c r="B36" s="276" t="s">
        <v>34</v>
      </c>
      <c r="C36" s="277" t="s">
        <v>217</v>
      </c>
      <c r="D36" s="278">
        <v>503</v>
      </c>
      <c r="E36" s="278" t="s">
        <v>254</v>
      </c>
      <c r="F36" s="282">
        <v>66.650000000000006</v>
      </c>
      <c r="G36" s="282">
        <v>717.42060000000004</v>
      </c>
      <c r="H36" s="283">
        <v>789.16266000000007</v>
      </c>
      <c r="I36" s="278" t="s">
        <v>167</v>
      </c>
      <c r="J36" s="283" t="s">
        <v>266</v>
      </c>
    </row>
    <row r="37" spans="1:10" ht="16.5" x14ac:dyDescent="0.3">
      <c r="A37" s="279">
        <v>36</v>
      </c>
      <c r="B37" s="279" t="s">
        <v>34</v>
      </c>
      <c r="C37" s="280" t="s">
        <v>217</v>
      </c>
      <c r="D37" s="281">
        <v>504</v>
      </c>
      <c r="E37" s="281" t="s">
        <v>254</v>
      </c>
      <c r="F37" s="284">
        <v>66.650000000000006</v>
      </c>
      <c r="G37" s="284">
        <v>717.42060000000004</v>
      </c>
      <c r="H37" s="285">
        <v>789.16266000000007</v>
      </c>
      <c r="I37" s="281" t="s">
        <v>211</v>
      </c>
      <c r="J37" s="285" t="s">
        <v>265</v>
      </c>
    </row>
    <row r="38" spans="1:10" ht="16.5" x14ac:dyDescent="0.3">
      <c r="A38" s="276">
        <v>37</v>
      </c>
      <c r="B38" s="276" t="s">
        <v>34</v>
      </c>
      <c r="C38" s="277" t="s">
        <v>217</v>
      </c>
      <c r="D38" s="278">
        <v>505</v>
      </c>
      <c r="E38" s="278" t="s">
        <v>251</v>
      </c>
      <c r="F38" s="282">
        <v>44.07</v>
      </c>
      <c r="G38" s="282">
        <v>474.36947999999995</v>
      </c>
      <c r="H38" s="283">
        <v>521.80642799999998</v>
      </c>
      <c r="I38" s="278" t="s">
        <v>211</v>
      </c>
      <c r="J38" s="283" t="s">
        <v>266</v>
      </c>
    </row>
    <row r="39" spans="1:10" ht="16.5" x14ac:dyDescent="0.3">
      <c r="A39" s="279">
        <v>38</v>
      </c>
      <c r="B39" s="279" t="s">
        <v>34</v>
      </c>
      <c r="C39" s="280" t="s">
        <v>217</v>
      </c>
      <c r="D39" s="281">
        <v>506</v>
      </c>
      <c r="E39" s="281" t="s">
        <v>251</v>
      </c>
      <c r="F39" s="284">
        <v>44.13</v>
      </c>
      <c r="G39" s="284">
        <v>475.01531999999997</v>
      </c>
      <c r="H39" s="285">
        <v>522.51685199999997</v>
      </c>
      <c r="I39" s="281" t="s">
        <v>211</v>
      </c>
      <c r="J39" s="285" t="s">
        <v>265</v>
      </c>
    </row>
    <row r="40" spans="1:10" ht="16.5" x14ac:dyDescent="0.3">
      <c r="A40" s="276">
        <v>39</v>
      </c>
      <c r="B40" s="276" t="s">
        <v>34</v>
      </c>
      <c r="C40" s="277" t="s">
        <v>217</v>
      </c>
      <c r="D40" s="278">
        <v>507</v>
      </c>
      <c r="E40" s="278" t="s">
        <v>253</v>
      </c>
      <c r="F40" s="282">
        <v>33.01</v>
      </c>
      <c r="G40" s="282">
        <v>355.31963999999994</v>
      </c>
      <c r="H40" s="283">
        <v>390.85160399999995</v>
      </c>
      <c r="I40" s="278" t="s">
        <v>211</v>
      </c>
      <c r="J40" s="283" t="s">
        <v>266</v>
      </c>
    </row>
    <row r="41" spans="1:10" ht="16.5" x14ac:dyDescent="0.3">
      <c r="A41" s="279">
        <v>40</v>
      </c>
      <c r="B41" s="279" t="s">
        <v>34</v>
      </c>
      <c r="C41" s="280" t="s">
        <v>217</v>
      </c>
      <c r="D41" s="281">
        <v>508</v>
      </c>
      <c r="E41" s="281" t="s">
        <v>251</v>
      </c>
      <c r="F41" s="284">
        <v>50.84</v>
      </c>
      <c r="G41" s="284">
        <v>547.24176</v>
      </c>
      <c r="H41" s="285">
        <v>601.96593600000006</v>
      </c>
      <c r="I41" s="281" t="s">
        <v>211</v>
      </c>
      <c r="J41" s="285" t="s">
        <v>265</v>
      </c>
    </row>
    <row r="42" spans="1:10" ht="16.5" x14ac:dyDescent="0.3">
      <c r="A42" s="276">
        <v>41</v>
      </c>
      <c r="B42" s="276" t="s">
        <v>34</v>
      </c>
      <c r="C42" s="277" t="s">
        <v>217</v>
      </c>
      <c r="D42" s="278">
        <v>509</v>
      </c>
      <c r="E42" s="278" t="s">
        <v>253</v>
      </c>
      <c r="F42" s="282">
        <v>34.520000000000003</v>
      </c>
      <c r="G42" s="282">
        <v>371.57328000000001</v>
      </c>
      <c r="H42" s="283">
        <v>408.73060800000002</v>
      </c>
      <c r="I42" s="278" t="s">
        <v>211</v>
      </c>
      <c r="J42" s="283" t="s">
        <v>265</v>
      </c>
    </row>
    <row r="43" spans="1:10" ht="16.5" x14ac:dyDescent="0.3">
      <c r="A43" s="279">
        <v>42</v>
      </c>
      <c r="B43" s="279" t="s">
        <v>34</v>
      </c>
      <c r="C43" s="280" t="s">
        <v>217</v>
      </c>
      <c r="D43" s="281">
        <v>510</v>
      </c>
      <c r="E43" s="281" t="s">
        <v>253</v>
      </c>
      <c r="F43" s="284">
        <v>33.01</v>
      </c>
      <c r="G43" s="284">
        <v>355.31963999999994</v>
      </c>
      <c r="H43" s="285">
        <v>390.85160399999995</v>
      </c>
      <c r="I43" s="281" t="s">
        <v>211</v>
      </c>
      <c r="J43" s="285" t="s">
        <v>266</v>
      </c>
    </row>
    <row r="44" spans="1:10" ht="16.5" x14ac:dyDescent="0.3">
      <c r="A44" s="276">
        <v>43</v>
      </c>
      <c r="B44" s="276" t="s">
        <v>34</v>
      </c>
      <c r="C44" s="277" t="s">
        <v>218</v>
      </c>
      <c r="D44" s="278">
        <v>601</v>
      </c>
      <c r="E44" s="278" t="s">
        <v>251</v>
      </c>
      <c r="F44" s="282">
        <v>44.07</v>
      </c>
      <c r="G44" s="282">
        <v>474.36947999999995</v>
      </c>
      <c r="H44" s="283">
        <v>521.80642799999998</v>
      </c>
      <c r="I44" s="278" t="s">
        <v>211</v>
      </c>
      <c r="J44" s="283" t="s">
        <v>266</v>
      </c>
    </row>
    <row r="45" spans="1:10" ht="16.5" x14ac:dyDescent="0.3">
      <c r="A45" s="279">
        <v>44</v>
      </c>
      <c r="B45" s="279" t="s">
        <v>34</v>
      </c>
      <c r="C45" s="280" t="s">
        <v>218</v>
      </c>
      <c r="D45" s="281">
        <v>602</v>
      </c>
      <c r="E45" s="281" t="s">
        <v>251</v>
      </c>
      <c r="F45" s="284">
        <v>44.07</v>
      </c>
      <c r="G45" s="284">
        <v>474.36947999999995</v>
      </c>
      <c r="H45" s="285">
        <v>521.80642799999998</v>
      </c>
      <c r="I45" s="281" t="s">
        <v>211</v>
      </c>
      <c r="J45" s="285" t="s">
        <v>265</v>
      </c>
    </row>
    <row r="46" spans="1:10" ht="16.5" x14ac:dyDescent="0.3">
      <c r="A46" s="276">
        <v>45</v>
      </c>
      <c r="B46" s="276" t="s">
        <v>34</v>
      </c>
      <c r="C46" s="277" t="s">
        <v>218</v>
      </c>
      <c r="D46" s="278">
        <v>603</v>
      </c>
      <c r="E46" s="278" t="s">
        <v>254</v>
      </c>
      <c r="F46" s="282">
        <v>66.650000000000006</v>
      </c>
      <c r="G46" s="282">
        <v>717.42060000000004</v>
      </c>
      <c r="H46" s="283">
        <v>789.16266000000007</v>
      </c>
      <c r="I46" s="288" t="s">
        <v>211</v>
      </c>
      <c r="J46" s="283" t="s">
        <v>266</v>
      </c>
    </row>
    <row r="47" spans="1:10" ht="16.5" x14ac:dyDescent="0.3">
      <c r="A47" s="279">
        <v>46</v>
      </c>
      <c r="B47" s="279" t="s">
        <v>34</v>
      </c>
      <c r="C47" s="280" t="s">
        <v>218</v>
      </c>
      <c r="D47" s="281">
        <v>604</v>
      </c>
      <c r="E47" s="281" t="s">
        <v>254</v>
      </c>
      <c r="F47" s="284">
        <v>66.650000000000006</v>
      </c>
      <c r="G47" s="284">
        <v>717.42060000000004</v>
      </c>
      <c r="H47" s="285">
        <v>789.16266000000007</v>
      </c>
      <c r="I47" s="281" t="s">
        <v>211</v>
      </c>
      <c r="J47" s="285" t="s">
        <v>265</v>
      </c>
    </row>
    <row r="48" spans="1:10" ht="16.5" x14ac:dyDescent="0.3">
      <c r="A48" s="276">
        <v>47</v>
      </c>
      <c r="B48" s="276" t="s">
        <v>34</v>
      </c>
      <c r="C48" s="277" t="s">
        <v>218</v>
      </c>
      <c r="D48" s="278">
        <v>605</v>
      </c>
      <c r="E48" s="278" t="s">
        <v>251</v>
      </c>
      <c r="F48" s="282">
        <v>44.07</v>
      </c>
      <c r="G48" s="282">
        <v>474.36947999999995</v>
      </c>
      <c r="H48" s="283">
        <v>521.80642799999998</v>
      </c>
      <c r="I48" s="278" t="s">
        <v>211</v>
      </c>
      <c r="J48" s="283" t="s">
        <v>266</v>
      </c>
    </row>
    <row r="49" spans="1:10" ht="16.5" x14ac:dyDescent="0.3">
      <c r="A49" s="279">
        <v>48</v>
      </c>
      <c r="B49" s="279" t="s">
        <v>34</v>
      </c>
      <c r="C49" s="280" t="s">
        <v>218</v>
      </c>
      <c r="D49" s="281">
        <v>606</v>
      </c>
      <c r="E49" s="281" t="s">
        <v>251</v>
      </c>
      <c r="F49" s="284">
        <v>44.13</v>
      </c>
      <c r="G49" s="284">
        <v>475.01531999999997</v>
      </c>
      <c r="H49" s="285">
        <v>522.51685199999997</v>
      </c>
      <c r="I49" s="281" t="s">
        <v>211</v>
      </c>
      <c r="J49" s="285" t="s">
        <v>266</v>
      </c>
    </row>
    <row r="50" spans="1:10" ht="16.5" x14ac:dyDescent="0.3">
      <c r="A50" s="276">
        <v>49</v>
      </c>
      <c r="B50" s="276" t="s">
        <v>34</v>
      </c>
      <c r="C50" s="277" t="s">
        <v>218</v>
      </c>
      <c r="D50" s="278">
        <v>607</v>
      </c>
      <c r="E50" s="278" t="s">
        <v>253</v>
      </c>
      <c r="F50" s="282">
        <v>33.01</v>
      </c>
      <c r="G50" s="282">
        <v>355.31963999999994</v>
      </c>
      <c r="H50" s="283">
        <v>390.85160399999995</v>
      </c>
      <c r="I50" s="278" t="s">
        <v>211</v>
      </c>
      <c r="J50" s="283" t="s">
        <v>266</v>
      </c>
    </row>
    <row r="51" spans="1:10" ht="16.5" x14ac:dyDescent="0.3">
      <c r="A51" s="279">
        <v>50</v>
      </c>
      <c r="B51" s="279" t="s">
        <v>34</v>
      </c>
      <c r="C51" s="280" t="s">
        <v>218</v>
      </c>
      <c r="D51" s="281">
        <v>608</v>
      </c>
      <c r="E51" s="281" t="s">
        <v>251</v>
      </c>
      <c r="F51" s="284">
        <v>50.84</v>
      </c>
      <c r="G51" s="284">
        <v>547.24176</v>
      </c>
      <c r="H51" s="285">
        <v>601.96593600000006</v>
      </c>
      <c r="I51" s="281" t="s">
        <v>211</v>
      </c>
      <c r="J51" s="285" t="s">
        <v>265</v>
      </c>
    </row>
    <row r="52" spans="1:10" ht="16.5" x14ac:dyDescent="0.3">
      <c r="A52" s="276">
        <v>51</v>
      </c>
      <c r="B52" s="276" t="s">
        <v>34</v>
      </c>
      <c r="C52" s="277" t="s">
        <v>218</v>
      </c>
      <c r="D52" s="278">
        <v>609</v>
      </c>
      <c r="E52" s="278" t="s">
        <v>173</v>
      </c>
      <c r="F52" s="282">
        <v>34.520000000000003</v>
      </c>
      <c r="G52" s="282">
        <v>371.57328000000001</v>
      </c>
      <c r="H52" s="283">
        <v>408.73060800000002</v>
      </c>
      <c r="I52" s="278" t="s">
        <v>211</v>
      </c>
      <c r="J52" s="283" t="s">
        <v>265</v>
      </c>
    </row>
    <row r="53" spans="1:10" ht="16.5" x14ac:dyDescent="0.3">
      <c r="A53" s="279">
        <v>52</v>
      </c>
      <c r="B53" s="279" t="s">
        <v>34</v>
      </c>
      <c r="C53" s="280" t="s">
        <v>218</v>
      </c>
      <c r="D53" s="281">
        <v>610</v>
      </c>
      <c r="E53" s="281" t="s">
        <v>173</v>
      </c>
      <c r="F53" s="284">
        <v>33.01</v>
      </c>
      <c r="G53" s="284">
        <v>355.31963999999994</v>
      </c>
      <c r="H53" s="285">
        <v>390.85160399999995</v>
      </c>
      <c r="I53" s="281" t="s">
        <v>211</v>
      </c>
      <c r="J53" s="285" t="s">
        <v>266</v>
      </c>
    </row>
    <row r="54" spans="1:10" ht="16.5" x14ac:dyDescent="0.3">
      <c r="A54" s="276">
        <v>53</v>
      </c>
      <c r="B54" s="276" t="s">
        <v>34</v>
      </c>
      <c r="C54" s="277" t="s">
        <v>219</v>
      </c>
      <c r="D54" s="278">
        <v>701</v>
      </c>
      <c r="E54" s="278" t="s">
        <v>172</v>
      </c>
      <c r="F54" s="282">
        <v>44.07</v>
      </c>
      <c r="G54" s="282">
        <v>474.36947999999995</v>
      </c>
      <c r="H54" s="283">
        <v>521.80642799999998</v>
      </c>
      <c r="I54" s="278" t="s">
        <v>211</v>
      </c>
      <c r="J54" s="283" t="s">
        <v>266</v>
      </c>
    </row>
    <row r="55" spans="1:10" ht="16.5" x14ac:dyDescent="0.3">
      <c r="A55" s="279">
        <v>54</v>
      </c>
      <c r="B55" s="279" t="s">
        <v>34</v>
      </c>
      <c r="C55" s="280" t="s">
        <v>219</v>
      </c>
      <c r="D55" s="281">
        <v>702</v>
      </c>
      <c r="E55" s="281" t="s">
        <v>172</v>
      </c>
      <c r="F55" s="284">
        <v>44.07</v>
      </c>
      <c r="G55" s="284">
        <v>474.36947999999995</v>
      </c>
      <c r="H55" s="285">
        <v>521.80642799999998</v>
      </c>
      <c r="I55" s="281" t="s">
        <v>211</v>
      </c>
      <c r="J55" s="285" t="s">
        <v>265</v>
      </c>
    </row>
    <row r="56" spans="1:10" ht="16.5" x14ac:dyDescent="0.3">
      <c r="A56" s="276">
        <v>55</v>
      </c>
      <c r="B56" s="276" t="s">
        <v>34</v>
      </c>
      <c r="C56" s="277" t="s">
        <v>219</v>
      </c>
      <c r="D56" s="278">
        <v>704</v>
      </c>
      <c r="E56" s="278" t="s">
        <v>174</v>
      </c>
      <c r="F56" s="282">
        <v>66.650000000000006</v>
      </c>
      <c r="G56" s="282">
        <v>717.42060000000004</v>
      </c>
      <c r="H56" s="283">
        <v>789.16266000000007</v>
      </c>
      <c r="I56" s="278" t="s">
        <v>211</v>
      </c>
      <c r="J56" s="283" t="s">
        <v>265</v>
      </c>
    </row>
    <row r="57" spans="1:10" ht="16.5" x14ac:dyDescent="0.3">
      <c r="A57" s="279">
        <v>56</v>
      </c>
      <c r="B57" s="279" t="s">
        <v>34</v>
      </c>
      <c r="C57" s="280" t="s">
        <v>219</v>
      </c>
      <c r="D57" s="281">
        <v>705</v>
      </c>
      <c r="E57" s="281" t="s">
        <v>251</v>
      </c>
      <c r="F57" s="284">
        <v>44.07</v>
      </c>
      <c r="G57" s="284">
        <v>474.36947999999995</v>
      </c>
      <c r="H57" s="285">
        <v>521.80642799999998</v>
      </c>
      <c r="I57" s="281" t="s">
        <v>211</v>
      </c>
      <c r="J57" s="285" t="s">
        <v>266</v>
      </c>
    </row>
    <row r="58" spans="1:10" ht="16.5" x14ac:dyDescent="0.3">
      <c r="A58" s="276">
        <v>57</v>
      </c>
      <c r="B58" s="276" t="s">
        <v>34</v>
      </c>
      <c r="C58" s="277" t="s">
        <v>219</v>
      </c>
      <c r="D58" s="278">
        <v>706</v>
      </c>
      <c r="E58" s="278" t="s">
        <v>251</v>
      </c>
      <c r="F58" s="282">
        <v>44.13</v>
      </c>
      <c r="G58" s="282">
        <v>475.01531999999997</v>
      </c>
      <c r="H58" s="283">
        <v>522.51685199999997</v>
      </c>
      <c r="I58" s="278" t="s">
        <v>211</v>
      </c>
      <c r="J58" s="283" t="s">
        <v>266</v>
      </c>
    </row>
    <row r="59" spans="1:10" ht="16.5" x14ac:dyDescent="0.3">
      <c r="A59" s="279">
        <v>58</v>
      </c>
      <c r="B59" s="279" t="s">
        <v>34</v>
      </c>
      <c r="C59" s="280" t="s">
        <v>219</v>
      </c>
      <c r="D59" s="281">
        <v>707</v>
      </c>
      <c r="E59" s="281" t="s">
        <v>253</v>
      </c>
      <c r="F59" s="284">
        <v>33.01</v>
      </c>
      <c r="G59" s="284">
        <v>355.31963999999994</v>
      </c>
      <c r="H59" s="285">
        <v>390.85160399999995</v>
      </c>
      <c r="I59" s="281" t="s">
        <v>211</v>
      </c>
      <c r="J59" s="285" t="s">
        <v>266</v>
      </c>
    </row>
    <row r="60" spans="1:10" ht="16.5" x14ac:dyDescent="0.3">
      <c r="A60" s="276">
        <v>59</v>
      </c>
      <c r="B60" s="276" t="s">
        <v>34</v>
      </c>
      <c r="C60" s="277" t="s">
        <v>219</v>
      </c>
      <c r="D60" s="278">
        <v>708</v>
      </c>
      <c r="E60" s="278" t="s">
        <v>251</v>
      </c>
      <c r="F60" s="282">
        <v>50.84</v>
      </c>
      <c r="G60" s="282">
        <v>547.24176</v>
      </c>
      <c r="H60" s="283">
        <v>601.96593600000006</v>
      </c>
      <c r="I60" s="278" t="s">
        <v>167</v>
      </c>
      <c r="J60" s="283" t="s">
        <v>265</v>
      </c>
    </row>
    <row r="61" spans="1:10" ht="16.5" x14ac:dyDescent="0.3">
      <c r="A61" s="279">
        <v>60</v>
      </c>
      <c r="B61" s="279" t="s">
        <v>34</v>
      </c>
      <c r="C61" s="280" t="s">
        <v>219</v>
      </c>
      <c r="D61" s="281">
        <v>709</v>
      </c>
      <c r="E61" s="281" t="s">
        <v>173</v>
      </c>
      <c r="F61" s="284">
        <v>34.520000000000003</v>
      </c>
      <c r="G61" s="284">
        <v>371.57328000000001</v>
      </c>
      <c r="H61" s="285">
        <v>408.73060800000002</v>
      </c>
      <c r="I61" s="281" t="s">
        <v>211</v>
      </c>
      <c r="J61" s="285" t="s">
        <v>265</v>
      </c>
    </row>
    <row r="62" spans="1:10" ht="16.5" x14ac:dyDescent="0.3">
      <c r="A62" s="276">
        <v>61</v>
      </c>
      <c r="B62" s="276" t="s">
        <v>34</v>
      </c>
      <c r="C62" s="277" t="s">
        <v>219</v>
      </c>
      <c r="D62" s="278">
        <v>710</v>
      </c>
      <c r="E62" s="278" t="s">
        <v>173</v>
      </c>
      <c r="F62" s="282">
        <v>33.01</v>
      </c>
      <c r="G62" s="282">
        <v>355.31963999999994</v>
      </c>
      <c r="H62" s="283">
        <v>390.85160399999995</v>
      </c>
      <c r="I62" s="278" t="s">
        <v>211</v>
      </c>
      <c r="J62" s="283" t="s">
        <v>266</v>
      </c>
    </row>
    <row r="63" spans="1:10" ht="16.5" x14ac:dyDescent="0.3">
      <c r="A63" s="279">
        <v>62</v>
      </c>
      <c r="B63" s="279" t="s">
        <v>34</v>
      </c>
      <c r="C63" s="280" t="s">
        <v>220</v>
      </c>
      <c r="D63" s="281">
        <v>801</v>
      </c>
      <c r="E63" s="281" t="s">
        <v>172</v>
      </c>
      <c r="F63" s="284">
        <v>44.07</v>
      </c>
      <c r="G63" s="284">
        <v>474.36947999999995</v>
      </c>
      <c r="H63" s="285">
        <v>521.80642799999998</v>
      </c>
      <c r="I63" s="281" t="s">
        <v>211</v>
      </c>
      <c r="J63" s="285" t="s">
        <v>266</v>
      </c>
    </row>
    <row r="64" spans="1:10" ht="16.5" x14ac:dyDescent="0.3">
      <c r="A64" s="276">
        <v>63</v>
      </c>
      <c r="B64" s="276" t="s">
        <v>34</v>
      </c>
      <c r="C64" s="277" t="s">
        <v>220</v>
      </c>
      <c r="D64" s="278">
        <v>802</v>
      </c>
      <c r="E64" s="278" t="s">
        <v>172</v>
      </c>
      <c r="F64" s="282">
        <v>44.07</v>
      </c>
      <c r="G64" s="282">
        <v>474.36947999999995</v>
      </c>
      <c r="H64" s="283">
        <v>521.80642799999998</v>
      </c>
      <c r="I64" s="278" t="s">
        <v>211</v>
      </c>
      <c r="J64" s="283" t="s">
        <v>266</v>
      </c>
    </row>
    <row r="65" spans="1:10" ht="16.5" x14ac:dyDescent="0.3">
      <c r="A65" s="279">
        <v>64</v>
      </c>
      <c r="B65" s="279" t="s">
        <v>34</v>
      </c>
      <c r="C65" s="280" t="s">
        <v>220</v>
      </c>
      <c r="D65" s="281">
        <v>805</v>
      </c>
      <c r="E65" s="281" t="s">
        <v>172</v>
      </c>
      <c r="F65" s="284">
        <v>44.07</v>
      </c>
      <c r="G65" s="284">
        <v>474.36947999999995</v>
      </c>
      <c r="H65" s="285">
        <v>521.80642799999998</v>
      </c>
      <c r="I65" s="281" t="s">
        <v>211</v>
      </c>
      <c r="J65" s="285" t="s">
        <v>265</v>
      </c>
    </row>
    <row r="66" spans="1:10" ht="16.5" x14ac:dyDescent="0.3">
      <c r="A66" s="276">
        <v>65</v>
      </c>
      <c r="B66" s="276" t="s">
        <v>34</v>
      </c>
      <c r="C66" s="277" t="s">
        <v>220</v>
      </c>
      <c r="D66" s="278">
        <v>806</v>
      </c>
      <c r="E66" s="278" t="s">
        <v>172</v>
      </c>
      <c r="F66" s="282">
        <v>44.13</v>
      </c>
      <c r="G66" s="282">
        <v>475.01531999999997</v>
      </c>
      <c r="H66" s="283">
        <v>522.51685199999997</v>
      </c>
      <c r="I66" s="278" t="s">
        <v>211</v>
      </c>
      <c r="J66" s="283" t="s">
        <v>265</v>
      </c>
    </row>
    <row r="67" spans="1:10" ht="16.5" x14ac:dyDescent="0.3">
      <c r="A67" s="279">
        <v>66</v>
      </c>
      <c r="B67" s="279" t="s">
        <v>34</v>
      </c>
      <c r="C67" s="280" t="s">
        <v>220</v>
      </c>
      <c r="D67" s="281">
        <v>807</v>
      </c>
      <c r="E67" s="281" t="s">
        <v>173</v>
      </c>
      <c r="F67" s="284">
        <v>33.01</v>
      </c>
      <c r="G67" s="284">
        <v>355.31963999999994</v>
      </c>
      <c r="H67" s="285">
        <v>390.85160399999995</v>
      </c>
      <c r="I67" s="281" t="s">
        <v>211</v>
      </c>
      <c r="J67" s="285" t="s">
        <v>266</v>
      </c>
    </row>
    <row r="68" spans="1:10" ht="16.5" x14ac:dyDescent="0.3">
      <c r="A68" s="276">
        <v>67</v>
      </c>
      <c r="B68" s="276" t="s">
        <v>34</v>
      </c>
      <c r="C68" s="277" t="s">
        <v>220</v>
      </c>
      <c r="D68" s="278">
        <v>809</v>
      </c>
      <c r="E68" s="278" t="s">
        <v>173</v>
      </c>
      <c r="F68" s="282">
        <v>34.520000000000003</v>
      </c>
      <c r="G68" s="282">
        <v>371.57328000000001</v>
      </c>
      <c r="H68" s="283">
        <v>408.73060800000002</v>
      </c>
      <c r="I68" s="278" t="s">
        <v>211</v>
      </c>
      <c r="J68" s="283" t="s">
        <v>265</v>
      </c>
    </row>
    <row r="69" spans="1:10" ht="16.5" x14ac:dyDescent="0.3">
      <c r="A69" s="279">
        <v>68</v>
      </c>
      <c r="B69" s="279" t="s">
        <v>34</v>
      </c>
      <c r="C69" s="280" t="s">
        <v>220</v>
      </c>
      <c r="D69" s="281">
        <v>810</v>
      </c>
      <c r="E69" s="281" t="s">
        <v>173</v>
      </c>
      <c r="F69" s="284">
        <v>33.01</v>
      </c>
      <c r="G69" s="284">
        <v>355.31963999999994</v>
      </c>
      <c r="H69" s="285">
        <v>390.85160399999995</v>
      </c>
      <c r="I69" s="281" t="s">
        <v>211</v>
      </c>
      <c r="J69" s="285" t="s">
        <v>266</v>
      </c>
    </row>
    <row r="70" spans="1:10" ht="16.5" x14ac:dyDescent="0.3">
      <c r="A70" s="276">
        <v>69</v>
      </c>
      <c r="B70" s="276" t="s">
        <v>34</v>
      </c>
      <c r="C70" s="277" t="s">
        <v>221</v>
      </c>
      <c r="D70" s="278">
        <v>901</v>
      </c>
      <c r="E70" s="278" t="s">
        <v>172</v>
      </c>
      <c r="F70" s="282">
        <v>44.07</v>
      </c>
      <c r="G70" s="282">
        <v>474.36947999999995</v>
      </c>
      <c r="H70" s="283">
        <v>521.80642799999998</v>
      </c>
      <c r="I70" s="278" t="s">
        <v>211</v>
      </c>
      <c r="J70" s="283" t="s">
        <v>266</v>
      </c>
    </row>
    <row r="71" spans="1:10" ht="16.5" x14ac:dyDescent="0.3">
      <c r="A71" s="279">
        <v>70</v>
      </c>
      <c r="B71" s="279" t="s">
        <v>34</v>
      </c>
      <c r="C71" s="280" t="s">
        <v>221</v>
      </c>
      <c r="D71" s="281">
        <v>902</v>
      </c>
      <c r="E71" s="281" t="s">
        <v>172</v>
      </c>
      <c r="F71" s="284">
        <v>44.07</v>
      </c>
      <c r="G71" s="284">
        <v>474.36947999999995</v>
      </c>
      <c r="H71" s="285">
        <v>521.80642799999998</v>
      </c>
      <c r="I71" s="281" t="s">
        <v>211</v>
      </c>
      <c r="J71" s="285" t="s">
        <v>265</v>
      </c>
    </row>
    <row r="72" spans="1:10" ht="16.5" x14ac:dyDescent="0.3">
      <c r="A72" s="276">
        <v>71</v>
      </c>
      <c r="B72" s="276" t="s">
        <v>34</v>
      </c>
      <c r="C72" s="277" t="s">
        <v>221</v>
      </c>
      <c r="D72" s="278">
        <v>905</v>
      </c>
      <c r="E72" s="278" t="s">
        <v>172</v>
      </c>
      <c r="F72" s="282">
        <v>44.07</v>
      </c>
      <c r="G72" s="282">
        <v>474.36947999999995</v>
      </c>
      <c r="H72" s="283">
        <v>521.80642799999998</v>
      </c>
      <c r="I72" s="278" t="s">
        <v>211</v>
      </c>
      <c r="J72" s="283" t="s">
        <v>265</v>
      </c>
    </row>
    <row r="73" spans="1:10" ht="16.5" x14ac:dyDescent="0.3">
      <c r="A73" s="279">
        <v>72</v>
      </c>
      <c r="B73" s="279" t="s">
        <v>34</v>
      </c>
      <c r="C73" s="280" t="s">
        <v>221</v>
      </c>
      <c r="D73" s="281">
        <v>906</v>
      </c>
      <c r="E73" s="281" t="s">
        <v>172</v>
      </c>
      <c r="F73" s="284">
        <v>44.13</v>
      </c>
      <c r="G73" s="284">
        <v>475.01531999999997</v>
      </c>
      <c r="H73" s="285">
        <v>522.51685199999997</v>
      </c>
      <c r="I73" s="281" t="s">
        <v>211</v>
      </c>
      <c r="J73" s="285" t="s">
        <v>265</v>
      </c>
    </row>
    <row r="74" spans="1:10" ht="16.5" x14ac:dyDescent="0.3">
      <c r="A74" s="276">
        <v>73</v>
      </c>
      <c r="B74" s="276" t="s">
        <v>34</v>
      </c>
      <c r="C74" s="277" t="s">
        <v>221</v>
      </c>
      <c r="D74" s="278">
        <v>907</v>
      </c>
      <c r="E74" s="278" t="s">
        <v>173</v>
      </c>
      <c r="F74" s="282">
        <v>33.01</v>
      </c>
      <c r="G74" s="282">
        <v>355.31963999999994</v>
      </c>
      <c r="H74" s="283">
        <v>390.85160399999995</v>
      </c>
      <c r="I74" s="278" t="s">
        <v>211</v>
      </c>
      <c r="J74" s="283" t="s">
        <v>266</v>
      </c>
    </row>
    <row r="75" spans="1:10" ht="16.5" x14ac:dyDescent="0.3">
      <c r="A75" s="279">
        <v>74</v>
      </c>
      <c r="B75" s="279" t="s">
        <v>34</v>
      </c>
      <c r="C75" s="280" t="s">
        <v>221</v>
      </c>
      <c r="D75" s="281">
        <v>908</v>
      </c>
      <c r="E75" s="281" t="s">
        <v>172</v>
      </c>
      <c r="F75" s="284">
        <v>50.84</v>
      </c>
      <c r="G75" s="284">
        <v>547.24176</v>
      </c>
      <c r="H75" s="285">
        <v>601.96593600000006</v>
      </c>
      <c r="I75" s="281" t="s">
        <v>211</v>
      </c>
      <c r="J75" s="285" t="s">
        <v>266</v>
      </c>
    </row>
    <row r="76" spans="1:10" ht="16.5" x14ac:dyDescent="0.3">
      <c r="A76" s="276">
        <v>75</v>
      </c>
      <c r="B76" s="276" t="s">
        <v>34</v>
      </c>
      <c r="C76" s="277" t="s">
        <v>221</v>
      </c>
      <c r="D76" s="278">
        <v>909</v>
      </c>
      <c r="E76" s="278" t="s">
        <v>173</v>
      </c>
      <c r="F76" s="282">
        <v>34.520000000000003</v>
      </c>
      <c r="G76" s="282">
        <v>371.57328000000001</v>
      </c>
      <c r="H76" s="283">
        <v>408.73060800000002</v>
      </c>
      <c r="I76" s="278" t="s">
        <v>211</v>
      </c>
      <c r="J76" s="283" t="s">
        <v>266</v>
      </c>
    </row>
    <row r="77" spans="1:10" ht="16.5" x14ac:dyDescent="0.3">
      <c r="A77" s="279">
        <v>76</v>
      </c>
      <c r="B77" s="279" t="s">
        <v>34</v>
      </c>
      <c r="C77" s="280" t="s">
        <v>221</v>
      </c>
      <c r="D77" s="281">
        <v>910</v>
      </c>
      <c r="E77" s="281" t="s">
        <v>173</v>
      </c>
      <c r="F77" s="284">
        <v>33.01</v>
      </c>
      <c r="G77" s="284">
        <v>355.31963999999994</v>
      </c>
      <c r="H77" s="285">
        <v>390.85160399999995</v>
      </c>
      <c r="I77" s="281" t="s">
        <v>211</v>
      </c>
      <c r="J77" s="285" t="s">
        <v>266</v>
      </c>
    </row>
    <row r="78" spans="1:10" ht="16.5" x14ac:dyDescent="0.3">
      <c r="A78" s="276">
        <v>77</v>
      </c>
      <c r="B78" s="276" t="s">
        <v>34</v>
      </c>
      <c r="C78" s="277" t="s">
        <v>222</v>
      </c>
      <c r="D78" s="278">
        <v>1001</v>
      </c>
      <c r="E78" s="278" t="s">
        <v>172</v>
      </c>
      <c r="F78" s="282">
        <v>44.07</v>
      </c>
      <c r="G78" s="282">
        <v>474.36947999999995</v>
      </c>
      <c r="H78" s="283">
        <v>521.80642799999998</v>
      </c>
      <c r="I78" s="278" t="s">
        <v>211</v>
      </c>
      <c r="J78" s="283" t="s">
        <v>266</v>
      </c>
    </row>
    <row r="79" spans="1:10" ht="16.5" x14ac:dyDescent="0.3">
      <c r="A79" s="279">
        <v>78</v>
      </c>
      <c r="B79" s="279" t="s">
        <v>34</v>
      </c>
      <c r="C79" s="280" t="s">
        <v>222</v>
      </c>
      <c r="D79" s="281">
        <v>1002</v>
      </c>
      <c r="E79" s="281" t="s">
        <v>172</v>
      </c>
      <c r="F79" s="284">
        <v>44.07</v>
      </c>
      <c r="G79" s="284">
        <v>474.36947999999995</v>
      </c>
      <c r="H79" s="285">
        <v>521.80642799999998</v>
      </c>
      <c r="I79" s="281" t="s">
        <v>211</v>
      </c>
      <c r="J79" s="285" t="s">
        <v>265</v>
      </c>
    </row>
    <row r="80" spans="1:10" ht="16.5" x14ac:dyDescent="0.3">
      <c r="A80" s="276">
        <v>79</v>
      </c>
      <c r="B80" s="276" t="s">
        <v>34</v>
      </c>
      <c r="C80" s="277" t="s">
        <v>222</v>
      </c>
      <c r="D80" s="278">
        <v>1004</v>
      </c>
      <c r="E80" s="278" t="s">
        <v>174</v>
      </c>
      <c r="F80" s="282">
        <v>73.91</v>
      </c>
      <c r="G80" s="282">
        <v>795.56723999999997</v>
      </c>
      <c r="H80" s="283">
        <v>875.123964</v>
      </c>
      <c r="I80" s="278" t="s">
        <v>211</v>
      </c>
      <c r="J80" s="283" t="s">
        <v>265</v>
      </c>
    </row>
    <row r="81" spans="1:10" ht="16.5" x14ac:dyDescent="0.3">
      <c r="A81" s="279">
        <v>80</v>
      </c>
      <c r="B81" s="279" t="s">
        <v>34</v>
      </c>
      <c r="C81" s="280" t="s">
        <v>222</v>
      </c>
      <c r="D81" s="281">
        <v>1005</v>
      </c>
      <c r="E81" s="281" t="s">
        <v>172</v>
      </c>
      <c r="F81" s="284">
        <v>44.07</v>
      </c>
      <c r="G81" s="284">
        <v>474.36947999999995</v>
      </c>
      <c r="H81" s="285">
        <v>521.80642799999998</v>
      </c>
      <c r="I81" s="289" t="s">
        <v>211</v>
      </c>
      <c r="J81" s="285" t="s">
        <v>266</v>
      </c>
    </row>
    <row r="82" spans="1:10" ht="16.5" x14ac:dyDescent="0.3">
      <c r="A82" s="276">
        <v>81</v>
      </c>
      <c r="B82" s="276" t="s">
        <v>34</v>
      </c>
      <c r="C82" s="277" t="s">
        <v>222</v>
      </c>
      <c r="D82" s="278">
        <v>1006</v>
      </c>
      <c r="E82" s="278" t="s">
        <v>172</v>
      </c>
      <c r="F82" s="282">
        <v>44.13</v>
      </c>
      <c r="G82" s="282">
        <v>475.01531999999997</v>
      </c>
      <c r="H82" s="283">
        <v>522.51685199999997</v>
      </c>
      <c r="I82" s="288" t="s">
        <v>211</v>
      </c>
      <c r="J82" s="283" t="s">
        <v>266</v>
      </c>
    </row>
    <row r="83" spans="1:10" ht="16.5" x14ac:dyDescent="0.3">
      <c r="A83" s="279">
        <v>82</v>
      </c>
      <c r="B83" s="279" t="s">
        <v>34</v>
      </c>
      <c r="C83" s="280" t="s">
        <v>222</v>
      </c>
      <c r="D83" s="281">
        <v>1007</v>
      </c>
      <c r="E83" s="281" t="s">
        <v>173</v>
      </c>
      <c r="F83" s="284">
        <v>33.01</v>
      </c>
      <c r="G83" s="284">
        <v>355.31963999999994</v>
      </c>
      <c r="H83" s="285">
        <v>390.85160399999995</v>
      </c>
      <c r="I83" s="289" t="s">
        <v>211</v>
      </c>
      <c r="J83" s="285" t="s">
        <v>266</v>
      </c>
    </row>
    <row r="84" spans="1:10" ht="16.5" x14ac:dyDescent="0.3">
      <c r="A84" s="276">
        <v>83</v>
      </c>
      <c r="B84" s="276" t="s">
        <v>34</v>
      </c>
      <c r="C84" s="277" t="s">
        <v>222</v>
      </c>
      <c r="D84" s="278">
        <v>1008</v>
      </c>
      <c r="E84" s="278" t="s">
        <v>172</v>
      </c>
      <c r="F84" s="282">
        <v>54.17</v>
      </c>
      <c r="G84" s="282">
        <v>583.08587999999997</v>
      </c>
      <c r="H84" s="283">
        <v>641.39446800000007</v>
      </c>
      <c r="I84" s="288" t="s">
        <v>211</v>
      </c>
      <c r="J84" s="283" t="s">
        <v>265</v>
      </c>
    </row>
    <row r="85" spans="1:10" ht="16.5" x14ac:dyDescent="0.3">
      <c r="A85" s="279">
        <v>84</v>
      </c>
      <c r="B85" s="279" t="s">
        <v>34</v>
      </c>
      <c r="C85" s="280" t="s">
        <v>222</v>
      </c>
      <c r="D85" s="281">
        <v>1009</v>
      </c>
      <c r="E85" s="281" t="s">
        <v>173</v>
      </c>
      <c r="F85" s="284">
        <v>44.48</v>
      </c>
      <c r="G85" s="284">
        <v>478.78271999999993</v>
      </c>
      <c r="H85" s="285">
        <v>526.66099199999996</v>
      </c>
      <c r="I85" s="289" t="s">
        <v>211</v>
      </c>
      <c r="J85" s="285" t="s">
        <v>266</v>
      </c>
    </row>
    <row r="86" spans="1:10" ht="16.5" x14ac:dyDescent="0.3">
      <c r="A86" s="276">
        <v>85</v>
      </c>
      <c r="B86" s="276" t="s">
        <v>34</v>
      </c>
      <c r="C86" s="277" t="s">
        <v>222</v>
      </c>
      <c r="D86" s="278">
        <v>1010</v>
      </c>
      <c r="E86" s="278" t="s">
        <v>173</v>
      </c>
      <c r="F86" s="282">
        <v>33.01</v>
      </c>
      <c r="G86" s="282">
        <v>355.31963999999994</v>
      </c>
      <c r="H86" s="283">
        <v>390.85160399999995</v>
      </c>
      <c r="I86" s="288" t="s">
        <v>211</v>
      </c>
      <c r="J86" s="283" t="s">
        <v>266</v>
      </c>
    </row>
    <row r="87" spans="1:10" ht="16.5" x14ac:dyDescent="0.3">
      <c r="A87" s="279">
        <v>86</v>
      </c>
      <c r="B87" s="279" t="s">
        <v>34</v>
      </c>
      <c r="C87" s="280" t="s">
        <v>223</v>
      </c>
      <c r="D87" s="281">
        <v>1101</v>
      </c>
      <c r="E87" s="281" t="s">
        <v>172</v>
      </c>
      <c r="F87" s="284">
        <v>44.07</v>
      </c>
      <c r="G87" s="284">
        <v>474.36947999999995</v>
      </c>
      <c r="H87" s="285">
        <v>521.80642799999998</v>
      </c>
      <c r="I87" s="281" t="s">
        <v>211</v>
      </c>
      <c r="J87" s="285" t="s">
        <v>266</v>
      </c>
    </row>
    <row r="88" spans="1:10" ht="16.5" x14ac:dyDescent="0.3">
      <c r="A88" s="276">
        <v>87</v>
      </c>
      <c r="B88" s="276" t="s">
        <v>34</v>
      </c>
      <c r="C88" s="277" t="s">
        <v>223</v>
      </c>
      <c r="D88" s="278">
        <v>1102</v>
      </c>
      <c r="E88" s="278" t="s">
        <v>172</v>
      </c>
      <c r="F88" s="282">
        <v>44.07</v>
      </c>
      <c r="G88" s="282">
        <v>474.36947999999995</v>
      </c>
      <c r="H88" s="283">
        <v>521.80642799999998</v>
      </c>
      <c r="I88" s="278" t="s">
        <v>211</v>
      </c>
      <c r="J88" s="283" t="s">
        <v>266</v>
      </c>
    </row>
    <row r="89" spans="1:10" ht="16.5" x14ac:dyDescent="0.3">
      <c r="A89" s="279">
        <v>88</v>
      </c>
      <c r="B89" s="279" t="s">
        <v>34</v>
      </c>
      <c r="C89" s="280" t="s">
        <v>223</v>
      </c>
      <c r="D89" s="281">
        <v>1106</v>
      </c>
      <c r="E89" s="281" t="s">
        <v>172</v>
      </c>
      <c r="F89" s="284">
        <v>44.13</v>
      </c>
      <c r="G89" s="284">
        <v>475.01531999999997</v>
      </c>
      <c r="H89" s="285">
        <v>522.51685199999997</v>
      </c>
      <c r="I89" s="289" t="s">
        <v>211</v>
      </c>
      <c r="J89" s="285" t="s">
        <v>266</v>
      </c>
    </row>
    <row r="90" spans="1:10" ht="16.5" x14ac:dyDescent="0.3">
      <c r="A90" s="276">
        <v>89</v>
      </c>
      <c r="B90" s="276" t="s">
        <v>34</v>
      </c>
      <c r="C90" s="277" t="s">
        <v>223</v>
      </c>
      <c r="D90" s="278">
        <v>1107</v>
      </c>
      <c r="E90" s="278" t="s">
        <v>173</v>
      </c>
      <c r="F90" s="282">
        <v>33.01</v>
      </c>
      <c r="G90" s="282">
        <v>355.31963999999994</v>
      </c>
      <c r="H90" s="283">
        <v>390.85160399999995</v>
      </c>
      <c r="I90" s="288" t="s">
        <v>211</v>
      </c>
      <c r="J90" s="283" t="s">
        <v>266</v>
      </c>
    </row>
    <row r="91" spans="1:10" ht="16.5" x14ac:dyDescent="0.3">
      <c r="A91" s="279">
        <v>90</v>
      </c>
      <c r="B91" s="281" t="s">
        <v>34</v>
      </c>
      <c r="C91" s="280" t="s">
        <v>223</v>
      </c>
      <c r="D91" s="281">
        <v>1108</v>
      </c>
      <c r="E91" s="281" t="s">
        <v>172</v>
      </c>
      <c r="F91" s="284">
        <v>54.17</v>
      </c>
      <c r="G91" s="284">
        <v>583.08587999999997</v>
      </c>
      <c r="H91" s="285">
        <v>641.39446800000007</v>
      </c>
      <c r="I91" s="289" t="s">
        <v>211</v>
      </c>
      <c r="J91" s="285" t="s">
        <v>265</v>
      </c>
    </row>
    <row r="92" spans="1:10" ht="16.5" x14ac:dyDescent="0.3">
      <c r="A92" s="276">
        <v>91</v>
      </c>
      <c r="B92" s="276" t="s">
        <v>34</v>
      </c>
      <c r="C92" s="277" t="s">
        <v>223</v>
      </c>
      <c r="D92" s="278">
        <v>1109</v>
      </c>
      <c r="E92" s="278" t="s">
        <v>173</v>
      </c>
      <c r="F92" s="282">
        <v>44.48</v>
      </c>
      <c r="G92" s="282">
        <v>478.78271999999993</v>
      </c>
      <c r="H92" s="283">
        <v>526.66099199999996</v>
      </c>
      <c r="I92" s="288" t="s">
        <v>211</v>
      </c>
      <c r="J92" s="283" t="s">
        <v>266</v>
      </c>
    </row>
    <row r="93" spans="1:10" ht="16.5" x14ac:dyDescent="0.3">
      <c r="A93" s="279">
        <v>92</v>
      </c>
      <c r="B93" s="279" t="s">
        <v>34</v>
      </c>
      <c r="C93" s="280" t="s">
        <v>223</v>
      </c>
      <c r="D93" s="281">
        <v>1110</v>
      </c>
      <c r="E93" s="281" t="s">
        <v>173</v>
      </c>
      <c r="F93" s="284">
        <v>33.01</v>
      </c>
      <c r="G93" s="284">
        <v>355.31963999999994</v>
      </c>
      <c r="H93" s="285">
        <v>390.85160399999995</v>
      </c>
      <c r="I93" s="289" t="s">
        <v>211</v>
      </c>
      <c r="J93" s="285" t="s">
        <v>266</v>
      </c>
    </row>
    <row r="94" spans="1:10" ht="16.5" x14ac:dyDescent="0.3">
      <c r="A94" s="276">
        <v>93</v>
      </c>
      <c r="B94" s="276" t="s">
        <v>34</v>
      </c>
      <c r="C94" s="277" t="s">
        <v>224</v>
      </c>
      <c r="D94" s="278">
        <v>1201</v>
      </c>
      <c r="E94" s="278" t="s">
        <v>172</v>
      </c>
      <c r="F94" s="282">
        <v>44.07</v>
      </c>
      <c r="G94" s="282">
        <v>474.36947999999995</v>
      </c>
      <c r="H94" s="283">
        <v>521.80642799999998</v>
      </c>
      <c r="I94" s="278" t="s">
        <v>211</v>
      </c>
      <c r="J94" s="283" t="s">
        <v>266</v>
      </c>
    </row>
    <row r="95" spans="1:10" ht="16.5" x14ac:dyDescent="0.3">
      <c r="A95" s="279">
        <v>94</v>
      </c>
      <c r="B95" s="279" t="s">
        <v>34</v>
      </c>
      <c r="C95" s="280" t="s">
        <v>224</v>
      </c>
      <c r="D95" s="281">
        <v>1202</v>
      </c>
      <c r="E95" s="281" t="s">
        <v>172</v>
      </c>
      <c r="F95" s="284">
        <v>44.07</v>
      </c>
      <c r="G95" s="284">
        <v>474.36947999999995</v>
      </c>
      <c r="H95" s="285">
        <v>521.80642799999998</v>
      </c>
      <c r="I95" s="281" t="s">
        <v>211</v>
      </c>
      <c r="J95" s="285" t="s">
        <v>266</v>
      </c>
    </row>
    <row r="96" spans="1:10" ht="16.5" x14ac:dyDescent="0.3">
      <c r="A96" s="276">
        <v>95</v>
      </c>
      <c r="B96" s="276" t="s">
        <v>34</v>
      </c>
      <c r="C96" s="277" t="s">
        <v>224</v>
      </c>
      <c r="D96" s="278">
        <v>1205</v>
      </c>
      <c r="E96" s="278" t="s">
        <v>172</v>
      </c>
      <c r="F96" s="282">
        <v>44.07</v>
      </c>
      <c r="G96" s="282">
        <v>474.36947999999995</v>
      </c>
      <c r="H96" s="283">
        <v>521.80642799999998</v>
      </c>
      <c r="I96" s="288" t="s">
        <v>211</v>
      </c>
      <c r="J96" s="290" t="s">
        <v>265</v>
      </c>
    </row>
    <row r="97" spans="1:10" ht="16.5" x14ac:dyDescent="0.3">
      <c r="A97" s="279">
        <v>96</v>
      </c>
      <c r="B97" s="279" t="s">
        <v>34</v>
      </c>
      <c r="C97" s="280" t="s">
        <v>224</v>
      </c>
      <c r="D97" s="281">
        <v>1206</v>
      </c>
      <c r="E97" s="281" t="s">
        <v>172</v>
      </c>
      <c r="F97" s="284">
        <v>44.13</v>
      </c>
      <c r="G97" s="284">
        <v>475.01531999999997</v>
      </c>
      <c r="H97" s="285">
        <v>522.51685199999997</v>
      </c>
      <c r="I97" s="289" t="s">
        <v>211</v>
      </c>
      <c r="J97" s="285" t="s">
        <v>266</v>
      </c>
    </row>
    <row r="98" spans="1:10" ht="16.5" x14ac:dyDescent="0.3">
      <c r="A98" s="276">
        <v>97</v>
      </c>
      <c r="B98" s="278" t="s">
        <v>34</v>
      </c>
      <c r="C98" s="277" t="s">
        <v>224</v>
      </c>
      <c r="D98" s="278">
        <v>1207</v>
      </c>
      <c r="E98" s="278" t="s">
        <v>173</v>
      </c>
      <c r="F98" s="282">
        <v>33.01</v>
      </c>
      <c r="G98" s="282">
        <v>355.31963999999994</v>
      </c>
      <c r="H98" s="283">
        <v>390.85160399999995</v>
      </c>
      <c r="I98" s="288" t="s">
        <v>211</v>
      </c>
      <c r="J98" s="283" t="s">
        <v>266</v>
      </c>
    </row>
    <row r="99" spans="1:10" ht="16.5" x14ac:dyDescent="0.3">
      <c r="A99" s="279">
        <v>98</v>
      </c>
      <c r="B99" s="281" t="s">
        <v>34</v>
      </c>
      <c r="C99" s="280" t="s">
        <v>224</v>
      </c>
      <c r="D99" s="281">
        <v>1209</v>
      </c>
      <c r="E99" s="281" t="s">
        <v>173</v>
      </c>
      <c r="F99" s="284">
        <v>44.48</v>
      </c>
      <c r="G99" s="284">
        <v>478.78271999999993</v>
      </c>
      <c r="H99" s="285">
        <v>526.66099199999996</v>
      </c>
      <c r="I99" s="289" t="s">
        <v>211</v>
      </c>
      <c r="J99" s="285" t="s">
        <v>266</v>
      </c>
    </row>
    <row r="100" spans="1:10" ht="16.5" x14ac:dyDescent="0.3">
      <c r="A100" s="276">
        <v>99</v>
      </c>
      <c r="B100" s="276" t="s">
        <v>34</v>
      </c>
      <c r="C100" s="277" t="s">
        <v>224</v>
      </c>
      <c r="D100" s="278">
        <v>1210</v>
      </c>
      <c r="E100" s="278" t="s">
        <v>173</v>
      </c>
      <c r="F100" s="282">
        <v>33.01</v>
      </c>
      <c r="G100" s="282">
        <v>355.31963999999994</v>
      </c>
      <c r="H100" s="283">
        <v>390.85160399999995</v>
      </c>
      <c r="I100" s="288" t="s">
        <v>211</v>
      </c>
      <c r="J100" s="283" t="s">
        <v>266</v>
      </c>
    </row>
    <row r="101" spans="1:10" ht="16.5" x14ac:dyDescent="0.3">
      <c r="A101" s="279">
        <v>100</v>
      </c>
      <c r="B101" s="279" t="s">
        <v>34</v>
      </c>
      <c r="C101" s="280" t="s">
        <v>225</v>
      </c>
      <c r="D101" s="281">
        <v>1301</v>
      </c>
      <c r="E101" s="281" t="s">
        <v>172</v>
      </c>
      <c r="F101" s="284">
        <v>44.07</v>
      </c>
      <c r="G101" s="284">
        <v>474.36947999999995</v>
      </c>
      <c r="H101" s="285">
        <v>521.80642799999998</v>
      </c>
      <c r="I101" s="281" t="s">
        <v>211</v>
      </c>
      <c r="J101" s="285" t="s">
        <v>266</v>
      </c>
    </row>
    <row r="102" spans="1:10" ht="16.5" x14ac:dyDescent="0.3">
      <c r="A102" s="276">
        <v>101</v>
      </c>
      <c r="B102" s="276" t="s">
        <v>34</v>
      </c>
      <c r="C102" s="277" t="s">
        <v>225</v>
      </c>
      <c r="D102" s="278">
        <v>1304</v>
      </c>
      <c r="E102" s="278" t="s">
        <v>174</v>
      </c>
      <c r="F102" s="282">
        <v>73.91</v>
      </c>
      <c r="G102" s="282">
        <v>795.56723999999997</v>
      </c>
      <c r="H102" s="283">
        <v>875.123964</v>
      </c>
      <c r="I102" s="278" t="s">
        <v>211</v>
      </c>
      <c r="J102" s="283" t="s">
        <v>265</v>
      </c>
    </row>
    <row r="103" spans="1:10" ht="16.5" x14ac:dyDescent="0.3">
      <c r="A103" s="279">
        <v>102</v>
      </c>
      <c r="B103" s="279" t="s">
        <v>34</v>
      </c>
      <c r="C103" s="280" t="s">
        <v>225</v>
      </c>
      <c r="D103" s="281">
        <v>1306</v>
      </c>
      <c r="E103" s="281" t="s">
        <v>172</v>
      </c>
      <c r="F103" s="284">
        <v>44.13</v>
      </c>
      <c r="G103" s="284">
        <v>475.01531999999997</v>
      </c>
      <c r="H103" s="285">
        <v>522.51685199999997</v>
      </c>
      <c r="I103" s="289" t="s">
        <v>211</v>
      </c>
      <c r="J103" s="285" t="s">
        <v>265</v>
      </c>
    </row>
    <row r="104" spans="1:10" ht="16.5" x14ac:dyDescent="0.3">
      <c r="A104" s="276">
        <v>103</v>
      </c>
      <c r="B104" s="276" t="s">
        <v>34</v>
      </c>
      <c r="C104" s="277" t="s">
        <v>225</v>
      </c>
      <c r="D104" s="278">
        <v>1307</v>
      </c>
      <c r="E104" s="278" t="s">
        <v>173</v>
      </c>
      <c r="F104" s="282">
        <v>33.01</v>
      </c>
      <c r="G104" s="282">
        <v>355.31963999999994</v>
      </c>
      <c r="H104" s="283">
        <v>390.85160399999995</v>
      </c>
      <c r="I104" s="288" t="s">
        <v>211</v>
      </c>
      <c r="J104" s="283" t="s">
        <v>266</v>
      </c>
    </row>
    <row r="105" spans="1:10" ht="16.5" x14ac:dyDescent="0.3">
      <c r="A105" s="279">
        <v>104</v>
      </c>
      <c r="B105" s="279" t="s">
        <v>34</v>
      </c>
      <c r="C105" s="280" t="s">
        <v>225</v>
      </c>
      <c r="D105" s="281">
        <v>1308</v>
      </c>
      <c r="E105" s="281" t="s">
        <v>172</v>
      </c>
      <c r="F105" s="284">
        <v>54.17</v>
      </c>
      <c r="G105" s="284">
        <v>583.08587999999997</v>
      </c>
      <c r="H105" s="285">
        <v>641.39446800000007</v>
      </c>
      <c r="I105" s="289" t="s">
        <v>211</v>
      </c>
      <c r="J105" s="285" t="s">
        <v>265</v>
      </c>
    </row>
    <row r="106" spans="1:10" ht="16.5" x14ac:dyDescent="0.3">
      <c r="A106" s="276">
        <v>105</v>
      </c>
      <c r="B106" s="276" t="s">
        <v>34</v>
      </c>
      <c r="C106" s="277" t="s">
        <v>225</v>
      </c>
      <c r="D106" s="278">
        <v>1309</v>
      </c>
      <c r="E106" s="278" t="s">
        <v>173</v>
      </c>
      <c r="F106" s="282">
        <v>44.48</v>
      </c>
      <c r="G106" s="282">
        <v>478.78271999999993</v>
      </c>
      <c r="H106" s="283">
        <v>526.66099199999996</v>
      </c>
      <c r="I106" s="288" t="s">
        <v>211</v>
      </c>
      <c r="J106" s="283" t="s">
        <v>265</v>
      </c>
    </row>
    <row r="107" spans="1:10" ht="16.5" x14ac:dyDescent="0.3">
      <c r="A107" s="279">
        <v>106</v>
      </c>
      <c r="B107" s="279" t="s">
        <v>34</v>
      </c>
      <c r="C107" s="280" t="s">
        <v>225</v>
      </c>
      <c r="D107" s="281">
        <v>1310</v>
      </c>
      <c r="E107" s="281" t="s">
        <v>173</v>
      </c>
      <c r="F107" s="284">
        <v>33.01</v>
      </c>
      <c r="G107" s="284">
        <v>355.31963999999994</v>
      </c>
      <c r="H107" s="285">
        <v>390.85160399999995</v>
      </c>
      <c r="I107" s="289" t="s">
        <v>211</v>
      </c>
      <c r="J107" s="285" t="s">
        <v>266</v>
      </c>
    </row>
    <row r="108" spans="1:10" ht="16.5" x14ac:dyDescent="0.3">
      <c r="A108" s="276">
        <v>107</v>
      </c>
      <c r="B108" s="276" t="s">
        <v>34</v>
      </c>
      <c r="C108" s="277" t="s">
        <v>226</v>
      </c>
      <c r="D108" s="278">
        <v>1401</v>
      </c>
      <c r="E108" s="278" t="s">
        <v>172</v>
      </c>
      <c r="F108" s="282">
        <v>44.07</v>
      </c>
      <c r="G108" s="282">
        <v>474.36947999999995</v>
      </c>
      <c r="H108" s="283">
        <v>521.80642799999998</v>
      </c>
      <c r="I108" s="278" t="s">
        <v>211</v>
      </c>
      <c r="J108" s="283" t="s">
        <v>266</v>
      </c>
    </row>
    <row r="109" spans="1:10" ht="16.5" x14ac:dyDescent="0.3">
      <c r="A109" s="279">
        <v>108</v>
      </c>
      <c r="B109" s="279" t="s">
        <v>34</v>
      </c>
      <c r="C109" s="280" t="s">
        <v>226</v>
      </c>
      <c r="D109" s="281">
        <v>1402</v>
      </c>
      <c r="E109" s="281" t="s">
        <v>172</v>
      </c>
      <c r="F109" s="284">
        <v>44.07</v>
      </c>
      <c r="G109" s="284">
        <v>474.36947999999995</v>
      </c>
      <c r="H109" s="285">
        <v>521.80642799999998</v>
      </c>
      <c r="I109" s="281" t="s">
        <v>211</v>
      </c>
      <c r="J109" s="285" t="s">
        <v>266</v>
      </c>
    </row>
    <row r="110" spans="1:10" ht="16.5" x14ac:dyDescent="0.3">
      <c r="A110" s="276">
        <v>109</v>
      </c>
      <c r="B110" s="276" t="s">
        <v>34</v>
      </c>
      <c r="C110" s="277" t="s">
        <v>226</v>
      </c>
      <c r="D110" s="278">
        <v>1403</v>
      </c>
      <c r="E110" s="278" t="s">
        <v>174</v>
      </c>
      <c r="F110" s="282">
        <v>73.91</v>
      </c>
      <c r="G110" s="282">
        <v>795.56723999999997</v>
      </c>
      <c r="H110" s="283">
        <v>875.123964</v>
      </c>
      <c r="I110" s="278" t="s">
        <v>211</v>
      </c>
      <c r="J110" s="283" t="s">
        <v>265</v>
      </c>
    </row>
    <row r="111" spans="1:10" ht="16.5" x14ac:dyDescent="0.3">
      <c r="A111" s="279">
        <v>110</v>
      </c>
      <c r="B111" s="279" t="s">
        <v>34</v>
      </c>
      <c r="C111" s="280" t="s">
        <v>226</v>
      </c>
      <c r="D111" s="281">
        <v>1405</v>
      </c>
      <c r="E111" s="281" t="s">
        <v>172</v>
      </c>
      <c r="F111" s="284">
        <v>44.07</v>
      </c>
      <c r="G111" s="284">
        <v>474.36947999999995</v>
      </c>
      <c r="H111" s="285">
        <v>521.80642799999998</v>
      </c>
      <c r="I111" s="289" t="s">
        <v>211</v>
      </c>
      <c r="J111" s="285" t="s">
        <v>266</v>
      </c>
    </row>
    <row r="112" spans="1:10" ht="16.5" x14ac:dyDescent="0.3">
      <c r="A112" s="276">
        <v>111</v>
      </c>
      <c r="B112" s="276" t="s">
        <v>34</v>
      </c>
      <c r="C112" s="277" t="s">
        <v>226</v>
      </c>
      <c r="D112" s="278">
        <v>1406</v>
      </c>
      <c r="E112" s="278" t="s">
        <v>172</v>
      </c>
      <c r="F112" s="282">
        <v>44.13</v>
      </c>
      <c r="G112" s="282">
        <v>475.01531999999997</v>
      </c>
      <c r="H112" s="283">
        <v>522.51685199999997</v>
      </c>
      <c r="I112" s="288" t="s">
        <v>211</v>
      </c>
      <c r="J112" s="283" t="s">
        <v>266</v>
      </c>
    </row>
    <row r="113" spans="1:10" ht="16.5" x14ac:dyDescent="0.3">
      <c r="A113" s="279">
        <v>112</v>
      </c>
      <c r="B113" s="279" t="s">
        <v>34</v>
      </c>
      <c r="C113" s="280" t="s">
        <v>226</v>
      </c>
      <c r="D113" s="281">
        <v>1407</v>
      </c>
      <c r="E113" s="281" t="s">
        <v>173</v>
      </c>
      <c r="F113" s="284">
        <v>33.01</v>
      </c>
      <c r="G113" s="284">
        <v>355.31963999999994</v>
      </c>
      <c r="H113" s="285">
        <v>390.85160399999995</v>
      </c>
      <c r="I113" s="289" t="s">
        <v>211</v>
      </c>
      <c r="J113" s="285" t="s">
        <v>266</v>
      </c>
    </row>
    <row r="114" spans="1:10" ht="16.5" x14ac:dyDescent="0.3">
      <c r="A114" s="276">
        <v>113</v>
      </c>
      <c r="B114" s="276" t="s">
        <v>34</v>
      </c>
      <c r="C114" s="277" t="s">
        <v>226</v>
      </c>
      <c r="D114" s="278">
        <v>1409</v>
      </c>
      <c r="E114" s="278" t="s">
        <v>173</v>
      </c>
      <c r="F114" s="282">
        <v>44.48</v>
      </c>
      <c r="G114" s="282">
        <v>478.78271999999993</v>
      </c>
      <c r="H114" s="283">
        <v>526.66099199999996</v>
      </c>
      <c r="I114" s="288" t="s">
        <v>211</v>
      </c>
      <c r="J114" s="283" t="s">
        <v>266</v>
      </c>
    </row>
    <row r="115" spans="1:10" ht="16.5" x14ac:dyDescent="0.3">
      <c r="A115" s="279">
        <v>114</v>
      </c>
      <c r="B115" s="279" t="s">
        <v>34</v>
      </c>
      <c r="C115" s="280" t="s">
        <v>226</v>
      </c>
      <c r="D115" s="281">
        <v>1410</v>
      </c>
      <c r="E115" s="281" t="s">
        <v>173</v>
      </c>
      <c r="F115" s="284">
        <v>33.01</v>
      </c>
      <c r="G115" s="284">
        <v>355.31963999999994</v>
      </c>
      <c r="H115" s="285">
        <v>390.85160399999995</v>
      </c>
      <c r="I115" s="289" t="s">
        <v>211</v>
      </c>
      <c r="J115" s="285" t="s">
        <v>266</v>
      </c>
    </row>
    <row r="116" spans="1:10" ht="16.5" x14ac:dyDescent="0.3">
      <c r="A116" s="276">
        <v>115</v>
      </c>
      <c r="B116" s="276" t="s">
        <v>34</v>
      </c>
      <c r="C116" s="277" t="s">
        <v>227</v>
      </c>
      <c r="D116" s="278">
        <v>1501</v>
      </c>
      <c r="E116" s="278" t="s">
        <v>172</v>
      </c>
      <c r="F116" s="282">
        <v>44.07</v>
      </c>
      <c r="G116" s="282">
        <v>474.36947999999995</v>
      </c>
      <c r="H116" s="283">
        <v>521.80642799999998</v>
      </c>
      <c r="I116" s="288" t="s">
        <v>211</v>
      </c>
      <c r="J116" s="283" t="s">
        <v>266</v>
      </c>
    </row>
    <row r="117" spans="1:10" ht="16.5" x14ac:dyDescent="0.3">
      <c r="A117" s="279">
        <v>116</v>
      </c>
      <c r="B117" s="279" t="s">
        <v>34</v>
      </c>
      <c r="C117" s="280" t="s">
        <v>227</v>
      </c>
      <c r="D117" s="281">
        <v>1502</v>
      </c>
      <c r="E117" s="281" t="s">
        <v>172</v>
      </c>
      <c r="F117" s="284">
        <v>44.07</v>
      </c>
      <c r="G117" s="284">
        <v>474.36947999999995</v>
      </c>
      <c r="H117" s="285">
        <v>521.80642799999998</v>
      </c>
      <c r="I117" s="289" t="s">
        <v>211</v>
      </c>
      <c r="J117" s="285" t="s">
        <v>266</v>
      </c>
    </row>
    <row r="118" spans="1:10" ht="16.5" x14ac:dyDescent="0.3">
      <c r="A118" s="276">
        <v>117</v>
      </c>
      <c r="B118" s="276" t="s">
        <v>34</v>
      </c>
      <c r="C118" s="277" t="s">
        <v>227</v>
      </c>
      <c r="D118" s="278">
        <v>1505</v>
      </c>
      <c r="E118" s="278" t="s">
        <v>172</v>
      </c>
      <c r="F118" s="282">
        <v>44.07</v>
      </c>
      <c r="G118" s="282">
        <v>474.36947999999995</v>
      </c>
      <c r="H118" s="283">
        <v>521.80642799999998</v>
      </c>
      <c r="I118" s="288" t="s">
        <v>211</v>
      </c>
      <c r="J118" s="290" t="s">
        <v>266</v>
      </c>
    </row>
    <row r="119" spans="1:10" ht="16.5" x14ac:dyDescent="0.3">
      <c r="A119" s="279">
        <v>118</v>
      </c>
      <c r="B119" s="279" t="s">
        <v>34</v>
      </c>
      <c r="C119" s="280" t="s">
        <v>227</v>
      </c>
      <c r="D119" s="281">
        <v>1506</v>
      </c>
      <c r="E119" s="281" t="s">
        <v>172</v>
      </c>
      <c r="F119" s="284">
        <v>44.13</v>
      </c>
      <c r="G119" s="284">
        <v>475.01531999999997</v>
      </c>
      <c r="H119" s="285">
        <v>522.51685199999997</v>
      </c>
      <c r="I119" s="289" t="s">
        <v>211</v>
      </c>
      <c r="J119" s="285" t="s">
        <v>266</v>
      </c>
    </row>
    <row r="120" spans="1:10" ht="16.5" x14ac:dyDescent="0.3">
      <c r="A120" s="276">
        <v>119</v>
      </c>
      <c r="B120" s="278" t="s">
        <v>34</v>
      </c>
      <c r="C120" s="277" t="s">
        <v>227</v>
      </c>
      <c r="D120" s="278">
        <v>1507</v>
      </c>
      <c r="E120" s="278" t="s">
        <v>173</v>
      </c>
      <c r="F120" s="282">
        <v>33.01</v>
      </c>
      <c r="G120" s="282">
        <v>355.31963999999994</v>
      </c>
      <c r="H120" s="283">
        <v>390.85160399999995</v>
      </c>
      <c r="I120" s="288" t="s">
        <v>211</v>
      </c>
      <c r="J120" s="283" t="s">
        <v>266</v>
      </c>
    </row>
    <row r="121" spans="1:10" ht="16.5" x14ac:dyDescent="0.3">
      <c r="A121" s="279">
        <v>120</v>
      </c>
      <c r="B121" s="281" t="s">
        <v>34</v>
      </c>
      <c r="C121" s="280" t="s">
        <v>227</v>
      </c>
      <c r="D121" s="281">
        <v>1508</v>
      </c>
      <c r="E121" s="281" t="s">
        <v>172</v>
      </c>
      <c r="F121" s="284">
        <v>54.17</v>
      </c>
      <c r="G121" s="284">
        <v>583.08587999999997</v>
      </c>
      <c r="H121" s="285">
        <v>641.39446800000007</v>
      </c>
      <c r="I121" s="289" t="s">
        <v>211</v>
      </c>
      <c r="J121" s="285" t="s">
        <v>265</v>
      </c>
    </row>
    <row r="122" spans="1:10" ht="16.5" x14ac:dyDescent="0.3">
      <c r="A122" s="276">
        <v>121</v>
      </c>
      <c r="B122" s="276" t="s">
        <v>34</v>
      </c>
      <c r="C122" s="277" t="s">
        <v>227</v>
      </c>
      <c r="D122" s="278">
        <v>1509</v>
      </c>
      <c r="E122" s="278" t="s">
        <v>172</v>
      </c>
      <c r="F122" s="282">
        <v>44.48</v>
      </c>
      <c r="G122" s="282">
        <v>478.78271999999993</v>
      </c>
      <c r="H122" s="283">
        <v>526.66099199999996</v>
      </c>
      <c r="I122" s="288" t="s">
        <v>211</v>
      </c>
      <c r="J122" s="283" t="s">
        <v>266</v>
      </c>
    </row>
    <row r="123" spans="1:10" ht="16.5" x14ac:dyDescent="0.3">
      <c r="A123" s="279">
        <v>122</v>
      </c>
      <c r="B123" s="279" t="s">
        <v>34</v>
      </c>
      <c r="C123" s="280" t="s">
        <v>227</v>
      </c>
      <c r="D123" s="281">
        <v>1510</v>
      </c>
      <c r="E123" s="281" t="s">
        <v>173</v>
      </c>
      <c r="F123" s="284">
        <v>33.01</v>
      </c>
      <c r="G123" s="284">
        <v>355.31963999999994</v>
      </c>
      <c r="H123" s="285">
        <v>390.85160399999995</v>
      </c>
      <c r="I123" s="289" t="s">
        <v>211</v>
      </c>
      <c r="J123" s="285" t="s">
        <v>266</v>
      </c>
    </row>
    <row r="124" spans="1:10" ht="16.5" x14ac:dyDescent="0.3">
      <c r="A124" s="276">
        <v>123</v>
      </c>
      <c r="B124" s="276" t="s">
        <v>34</v>
      </c>
      <c r="C124" s="277" t="s">
        <v>228</v>
      </c>
      <c r="D124" s="278">
        <v>1601</v>
      </c>
      <c r="E124" s="278" t="s">
        <v>172</v>
      </c>
      <c r="F124" s="282">
        <v>44.07</v>
      </c>
      <c r="G124" s="282">
        <v>474.36947999999995</v>
      </c>
      <c r="H124" s="283">
        <v>521.80642799999998</v>
      </c>
      <c r="I124" s="278" t="s">
        <v>211</v>
      </c>
      <c r="J124" s="283" t="s">
        <v>266</v>
      </c>
    </row>
    <row r="125" spans="1:10" ht="16.5" x14ac:dyDescent="0.3">
      <c r="A125" s="279">
        <v>124</v>
      </c>
      <c r="B125" s="279" t="s">
        <v>34</v>
      </c>
      <c r="C125" s="280" t="s">
        <v>228</v>
      </c>
      <c r="D125" s="281">
        <v>1602</v>
      </c>
      <c r="E125" s="281" t="s">
        <v>172</v>
      </c>
      <c r="F125" s="284">
        <v>44.07</v>
      </c>
      <c r="G125" s="284">
        <v>474.36947999999995</v>
      </c>
      <c r="H125" s="285">
        <v>521.80642799999998</v>
      </c>
      <c r="I125" s="281" t="s">
        <v>211</v>
      </c>
      <c r="J125" s="285" t="s">
        <v>266</v>
      </c>
    </row>
    <row r="126" spans="1:10" ht="16.5" x14ac:dyDescent="0.3">
      <c r="A126" s="276">
        <v>125</v>
      </c>
      <c r="B126" s="276" t="s">
        <v>34</v>
      </c>
      <c r="C126" s="277" t="s">
        <v>228</v>
      </c>
      <c r="D126" s="278">
        <v>1605</v>
      </c>
      <c r="E126" s="278" t="s">
        <v>172</v>
      </c>
      <c r="F126" s="282">
        <v>44.07</v>
      </c>
      <c r="G126" s="282">
        <v>474.36947999999995</v>
      </c>
      <c r="H126" s="283">
        <v>521.80642799999998</v>
      </c>
      <c r="I126" s="288" t="s">
        <v>211</v>
      </c>
      <c r="J126" s="290" t="s">
        <v>266</v>
      </c>
    </row>
    <row r="127" spans="1:10" ht="16.5" x14ac:dyDescent="0.3">
      <c r="A127" s="279">
        <v>126</v>
      </c>
      <c r="B127" s="279" t="s">
        <v>34</v>
      </c>
      <c r="C127" s="280" t="s">
        <v>228</v>
      </c>
      <c r="D127" s="281">
        <v>1606</v>
      </c>
      <c r="E127" s="281" t="s">
        <v>172</v>
      </c>
      <c r="F127" s="284">
        <v>44.13</v>
      </c>
      <c r="G127" s="284">
        <v>475.01531999999997</v>
      </c>
      <c r="H127" s="285">
        <v>522.51685199999997</v>
      </c>
      <c r="I127" s="289" t="s">
        <v>211</v>
      </c>
      <c r="J127" s="285" t="s">
        <v>266</v>
      </c>
    </row>
    <row r="128" spans="1:10" ht="16.5" x14ac:dyDescent="0.3">
      <c r="A128" s="276">
        <v>127</v>
      </c>
      <c r="B128" s="276" t="s">
        <v>34</v>
      </c>
      <c r="C128" s="277" t="s">
        <v>228</v>
      </c>
      <c r="D128" s="278">
        <v>1607</v>
      </c>
      <c r="E128" s="278" t="s">
        <v>173</v>
      </c>
      <c r="F128" s="282">
        <v>33.01</v>
      </c>
      <c r="G128" s="282">
        <v>355.31963999999994</v>
      </c>
      <c r="H128" s="283">
        <v>390.85160399999995</v>
      </c>
      <c r="I128" s="288" t="s">
        <v>211</v>
      </c>
      <c r="J128" s="283" t="s">
        <v>266</v>
      </c>
    </row>
    <row r="129" spans="1:10" ht="16.5" x14ac:dyDescent="0.3">
      <c r="A129" s="279">
        <v>128</v>
      </c>
      <c r="B129" s="279" t="s">
        <v>34</v>
      </c>
      <c r="C129" s="280" t="s">
        <v>228</v>
      </c>
      <c r="D129" s="281">
        <v>1609</v>
      </c>
      <c r="E129" s="281" t="s">
        <v>173</v>
      </c>
      <c r="F129" s="284">
        <v>44.48</v>
      </c>
      <c r="G129" s="284">
        <v>478.78271999999993</v>
      </c>
      <c r="H129" s="285">
        <v>526.66099199999996</v>
      </c>
      <c r="I129" s="289" t="s">
        <v>211</v>
      </c>
      <c r="J129" s="285" t="s">
        <v>265</v>
      </c>
    </row>
    <row r="130" spans="1:10" ht="16.5" x14ac:dyDescent="0.3">
      <c r="A130" s="276">
        <v>129</v>
      </c>
      <c r="B130" s="276" t="s">
        <v>34</v>
      </c>
      <c r="C130" s="277" t="s">
        <v>228</v>
      </c>
      <c r="D130" s="278">
        <v>1610</v>
      </c>
      <c r="E130" s="278" t="s">
        <v>173</v>
      </c>
      <c r="F130" s="282">
        <v>33.01</v>
      </c>
      <c r="G130" s="282">
        <v>355.31963999999994</v>
      </c>
      <c r="H130" s="283">
        <v>390.85160399999995</v>
      </c>
      <c r="I130" s="288" t="s">
        <v>211</v>
      </c>
      <c r="J130" s="283" t="s">
        <v>266</v>
      </c>
    </row>
    <row r="131" spans="1:10" ht="16.5" x14ac:dyDescent="0.3">
      <c r="A131" s="279">
        <v>130</v>
      </c>
      <c r="B131" s="279" t="s">
        <v>34</v>
      </c>
      <c r="C131" s="280" t="s">
        <v>229</v>
      </c>
      <c r="D131" s="281">
        <v>1701</v>
      </c>
      <c r="E131" s="281" t="s">
        <v>172</v>
      </c>
      <c r="F131" s="284">
        <v>44.07</v>
      </c>
      <c r="G131" s="284">
        <v>474.36947999999995</v>
      </c>
      <c r="H131" s="285">
        <v>521.80642799999998</v>
      </c>
      <c r="I131" s="289" t="s">
        <v>211</v>
      </c>
      <c r="J131" s="285" t="s">
        <v>266</v>
      </c>
    </row>
    <row r="132" spans="1:10" ht="16.5" x14ac:dyDescent="0.3">
      <c r="A132" s="276">
        <v>131</v>
      </c>
      <c r="B132" s="276" t="s">
        <v>34</v>
      </c>
      <c r="C132" s="277" t="s">
        <v>229</v>
      </c>
      <c r="D132" s="278">
        <v>1702</v>
      </c>
      <c r="E132" s="278" t="s">
        <v>172</v>
      </c>
      <c r="F132" s="282">
        <v>44.07</v>
      </c>
      <c r="G132" s="282">
        <v>474.36947999999995</v>
      </c>
      <c r="H132" s="283">
        <v>521.80642799999998</v>
      </c>
      <c r="I132" s="288" t="s">
        <v>211</v>
      </c>
      <c r="J132" s="283" t="s">
        <v>266</v>
      </c>
    </row>
    <row r="133" spans="1:10" ht="16.5" x14ac:dyDescent="0.3">
      <c r="A133" s="279">
        <v>132</v>
      </c>
      <c r="B133" s="279" t="s">
        <v>34</v>
      </c>
      <c r="C133" s="280" t="s">
        <v>229</v>
      </c>
      <c r="D133" s="281">
        <v>1705</v>
      </c>
      <c r="E133" s="281" t="s">
        <v>172</v>
      </c>
      <c r="F133" s="284">
        <v>44.07</v>
      </c>
      <c r="G133" s="284">
        <v>474.36947999999995</v>
      </c>
      <c r="H133" s="285">
        <v>521.80642799999998</v>
      </c>
      <c r="I133" s="289" t="s">
        <v>211</v>
      </c>
      <c r="J133" s="285" t="s">
        <v>266</v>
      </c>
    </row>
    <row r="134" spans="1:10" ht="16.5" x14ac:dyDescent="0.3">
      <c r="A134" s="276">
        <v>133</v>
      </c>
      <c r="B134" s="276" t="s">
        <v>34</v>
      </c>
      <c r="C134" s="277" t="s">
        <v>229</v>
      </c>
      <c r="D134" s="278">
        <v>1706</v>
      </c>
      <c r="E134" s="278" t="s">
        <v>172</v>
      </c>
      <c r="F134" s="282">
        <v>44.13</v>
      </c>
      <c r="G134" s="282">
        <v>475.01531999999997</v>
      </c>
      <c r="H134" s="283">
        <v>522.51685199999997</v>
      </c>
      <c r="I134" s="288" t="s">
        <v>211</v>
      </c>
      <c r="J134" s="283" t="s">
        <v>266</v>
      </c>
    </row>
    <row r="135" spans="1:10" ht="16.5" x14ac:dyDescent="0.3">
      <c r="A135" s="279">
        <v>134</v>
      </c>
      <c r="B135" s="279" t="s">
        <v>34</v>
      </c>
      <c r="C135" s="280" t="s">
        <v>229</v>
      </c>
      <c r="D135" s="281">
        <v>1707</v>
      </c>
      <c r="E135" s="281" t="s">
        <v>173</v>
      </c>
      <c r="F135" s="284">
        <v>33.01</v>
      </c>
      <c r="G135" s="284">
        <v>355.31963999999994</v>
      </c>
      <c r="H135" s="285">
        <v>390.85160399999995</v>
      </c>
      <c r="I135" s="289" t="s">
        <v>211</v>
      </c>
      <c r="J135" s="285" t="s">
        <v>266</v>
      </c>
    </row>
    <row r="136" spans="1:10" ht="16.5" x14ac:dyDescent="0.3">
      <c r="A136" s="276">
        <v>135</v>
      </c>
      <c r="B136" s="276" t="s">
        <v>34</v>
      </c>
      <c r="C136" s="277" t="s">
        <v>229</v>
      </c>
      <c r="D136" s="278">
        <v>1709</v>
      </c>
      <c r="E136" s="278" t="s">
        <v>172</v>
      </c>
      <c r="F136" s="282">
        <v>54.05</v>
      </c>
      <c r="G136" s="282">
        <v>581.79419999999993</v>
      </c>
      <c r="H136" s="283">
        <v>639.97361999999998</v>
      </c>
      <c r="I136" s="288" t="s">
        <v>211</v>
      </c>
      <c r="J136" s="283" t="s">
        <v>265</v>
      </c>
    </row>
    <row r="137" spans="1:10" ht="16.5" x14ac:dyDescent="0.3">
      <c r="A137" s="279">
        <v>136</v>
      </c>
      <c r="B137" s="279" t="s">
        <v>34</v>
      </c>
      <c r="C137" s="280" t="s">
        <v>229</v>
      </c>
      <c r="D137" s="281">
        <v>1710</v>
      </c>
      <c r="E137" s="281" t="s">
        <v>173</v>
      </c>
      <c r="F137" s="284">
        <v>33.01</v>
      </c>
      <c r="G137" s="284">
        <v>355.31963999999994</v>
      </c>
      <c r="H137" s="285">
        <v>390.85160399999995</v>
      </c>
      <c r="I137" s="289" t="s">
        <v>211</v>
      </c>
      <c r="J137" s="285" t="s">
        <v>265</v>
      </c>
    </row>
    <row r="138" spans="1:10" ht="16.5" x14ac:dyDescent="0.3">
      <c r="A138" s="276">
        <v>137</v>
      </c>
      <c r="B138" s="276" t="s">
        <v>34</v>
      </c>
      <c r="C138" s="277" t="s">
        <v>230</v>
      </c>
      <c r="D138" s="278">
        <v>1801</v>
      </c>
      <c r="E138" s="278" t="s">
        <v>172</v>
      </c>
      <c r="F138" s="282">
        <v>44.07</v>
      </c>
      <c r="G138" s="282">
        <v>474.36947999999995</v>
      </c>
      <c r="H138" s="283">
        <v>521.80642799999998</v>
      </c>
      <c r="I138" s="288" t="s">
        <v>211</v>
      </c>
      <c r="J138" s="283" t="s">
        <v>266</v>
      </c>
    </row>
    <row r="139" spans="1:10" ht="16.5" x14ac:dyDescent="0.3">
      <c r="A139" s="279">
        <v>138</v>
      </c>
      <c r="B139" s="279" t="s">
        <v>34</v>
      </c>
      <c r="C139" s="280" t="s">
        <v>230</v>
      </c>
      <c r="D139" s="281">
        <v>1802</v>
      </c>
      <c r="E139" s="281" t="s">
        <v>172</v>
      </c>
      <c r="F139" s="284">
        <v>44.07</v>
      </c>
      <c r="G139" s="284">
        <v>474.36947999999995</v>
      </c>
      <c r="H139" s="285">
        <v>521.80642799999998</v>
      </c>
      <c r="I139" s="289" t="s">
        <v>211</v>
      </c>
      <c r="J139" s="285" t="s">
        <v>266</v>
      </c>
    </row>
    <row r="140" spans="1:10" ht="16.5" x14ac:dyDescent="0.3">
      <c r="A140" s="276">
        <v>139</v>
      </c>
      <c r="B140" s="276" t="s">
        <v>34</v>
      </c>
      <c r="C140" s="277" t="s">
        <v>230</v>
      </c>
      <c r="D140" s="278">
        <v>1803</v>
      </c>
      <c r="E140" s="278" t="s">
        <v>174</v>
      </c>
      <c r="F140" s="282">
        <v>73.91</v>
      </c>
      <c r="G140" s="282">
        <v>795.56723999999997</v>
      </c>
      <c r="H140" s="283">
        <v>875.123964</v>
      </c>
      <c r="I140" s="288" t="s">
        <v>211</v>
      </c>
      <c r="J140" s="283" t="s">
        <v>265</v>
      </c>
    </row>
    <row r="141" spans="1:10" ht="16.5" x14ac:dyDescent="0.3">
      <c r="A141" s="279">
        <v>140</v>
      </c>
      <c r="B141" s="279" t="s">
        <v>34</v>
      </c>
      <c r="C141" s="280" t="s">
        <v>230</v>
      </c>
      <c r="D141" s="281">
        <v>1805</v>
      </c>
      <c r="E141" s="281" t="s">
        <v>172</v>
      </c>
      <c r="F141" s="284">
        <v>44.07</v>
      </c>
      <c r="G141" s="284">
        <v>474.36947999999995</v>
      </c>
      <c r="H141" s="285">
        <v>521.80642799999998</v>
      </c>
      <c r="I141" s="289" t="s">
        <v>211</v>
      </c>
      <c r="J141" s="285" t="s">
        <v>266</v>
      </c>
    </row>
    <row r="142" spans="1:10" ht="16.5" x14ac:dyDescent="0.3">
      <c r="A142" s="276">
        <v>141</v>
      </c>
      <c r="B142" s="276" t="s">
        <v>34</v>
      </c>
      <c r="C142" s="277" t="s">
        <v>230</v>
      </c>
      <c r="D142" s="278">
        <v>1806</v>
      </c>
      <c r="E142" s="278" t="s">
        <v>172</v>
      </c>
      <c r="F142" s="282">
        <v>44.13</v>
      </c>
      <c r="G142" s="282">
        <v>475.01531999999997</v>
      </c>
      <c r="H142" s="283">
        <v>522.51685199999997</v>
      </c>
      <c r="I142" s="288" t="s">
        <v>211</v>
      </c>
      <c r="J142" s="283" t="s">
        <v>266</v>
      </c>
    </row>
    <row r="143" spans="1:10" ht="16.5" x14ac:dyDescent="0.3">
      <c r="A143" s="279">
        <v>142</v>
      </c>
      <c r="B143" s="279" t="s">
        <v>34</v>
      </c>
      <c r="C143" s="280" t="s">
        <v>230</v>
      </c>
      <c r="D143" s="281">
        <v>1807</v>
      </c>
      <c r="E143" s="281" t="s">
        <v>173</v>
      </c>
      <c r="F143" s="284">
        <v>33.01</v>
      </c>
      <c r="G143" s="284">
        <v>355.31963999999994</v>
      </c>
      <c r="H143" s="285">
        <v>390.85160399999995</v>
      </c>
      <c r="I143" s="289" t="s">
        <v>211</v>
      </c>
      <c r="J143" s="285" t="s">
        <v>266</v>
      </c>
    </row>
    <row r="144" spans="1:10" ht="16.5" x14ac:dyDescent="0.3">
      <c r="A144" s="276">
        <v>143</v>
      </c>
      <c r="B144" s="276" t="s">
        <v>34</v>
      </c>
      <c r="C144" s="277" t="s">
        <v>230</v>
      </c>
      <c r="D144" s="278">
        <v>1810</v>
      </c>
      <c r="E144" s="278" t="s">
        <v>173</v>
      </c>
      <c r="F144" s="282">
        <v>33.01</v>
      </c>
      <c r="G144" s="282">
        <v>355.31963999999994</v>
      </c>
      <c r="H144" s="283">
        <v>390.85160399999995</v>
      </c>
      <c r="I144" s="288" t="s">
        <v>211</v>
      </c>
      <c r="J144" s="283" t="s">
        <v>266</v>
      </c>
    </row>
    <row r="145" spans="1:10" ht="16.5" x14ac:dyDescent="0.3">
      <c r="A145" s="279">
        <v>144</v>
      </c>
      <c r="B145" s="279" t="s">
        <v>34</v>
      </c>
      <c r="C145" s="280" t="s">
        <v>231</v>
      </c>
      <c r="D145" s="281">
        <v>1901</v>
      </c>
      <c r="E145" s="281" t="s">
        <v>172</v>
      </c>
      <c r="F145" s="284">
        <v>44.07</v>
      </c>
      <c r="G145" s="284">
        <v>474.36947999999995</v>
      </c>
      <c r="H145" s="285">
        <v>521.80642799999998</v>
      </c>
      <c r="I145" s="289" t="s">
        <v>211</v>
      </c>
      <c r="J145" s="285" t="s">
        <v>266</v>
      </c>
    </row>
    <row r="146" spans="1:10" ht="16.5" x14ac:dyDescent="0.3">
      <c r="A146" s="276">
        <v>145</v>
      </c>
      <c r="B146" s="276" t="s">
        <v>34</v>
      </c>
      <c r="C146" s="277" t="s">
        <v>231</v>
      </c>
      <c r="D146" s="278">
        <v>1902</v>
      </c>
      <c r="E146" s="278" t="s">
        <v>172</v>
      </c>
      <c r="F146" s="282">
        <v>44.07</v>
      </c>
      <c r="G146" s="282">
        <v>474.36947999999995</v>
      </c>
      <c r="H146" s="283">
        <v>521.80642799999998</v>
      </c>
      <c r="I146" s="288" t="s">
        <v>211</v>
      </c>
      <c r="J146" s="283" t="s">
        <v>266</v>
      </c>
    </row>
    <row r="147" spans="1:10" ht="16.5" x14ac:dyDescent="0.3">
      <c r="A147" s="279">
        <v>146</v>
      </c>
      <c r="B147" s="279" t="s">
        <v>34</v>
      </c>
      <c r="C147" s="280" t="s">
        <v>231</v>
      </c>
      <c r="D147" s="281">
        <v>1905</v>
      </c>
      <c r="E147" s="281" t="s">
        <v>172</v>
      </c>
      <c r="F147" s="284">
        <v>44.07</v>
      </c>
      <c r="G147" s="284">
        <v>474.36947999999995</v>
      </c>
      <c r="H147" s="285">
        <v>521.80642799999998</v>
      </c>
      <c r="I147" s="289" t="s">
        <v>211</v>
      </c>
      <c r="J147" s="285" t="s">
        <v>266</v>
      </c>
    </row>
    <row r="148" spans="1:10" ht="16.5" x14ac:dyDescent="0.3">
      <c r="A148" s="276">
        <v>147</v>
      </c>
      <c r="B148" s="276" t="s">
        <v>34</v>
      </c>
      <c r="C148" s="277" t="s">
        <v>231</v>
      </c>
      <c r="D148" s="278">
        <v>1906</v>
      </c>
      <c r="E148" s="278" t="s">
        <v>172</v>
      </c>
      <c r="F148" s="282">
        <v>44.13</v>
      </c>
      <c r="G148" s="282">
        <v>475.01531999999997</v>
      </c>
      <c r="H148" s="283">
        <v>522.51685199999997</v>
      </c>
      <c r="I148" s="288" t="s">
        <v>211</v>
      </c>
      <c r="J148" s="283" t="s">
        <v>266</v>
      </c>
    </row>
    <row r="149" spans="1:10" ht="16.5" x14ac:dyDescent="0.3">
      <c r="A149" s="279">
        <v>148</v>
      </c>
      <c r="B149" s="279" t="s">
        <v>34</v>
      </c>
      <c r="C149" s="280" t="s">
        <v>231</v>
      </c>
      <c r="D149" s="281">
        <v>1907</v>
      </c>
      <c r="E149" s="281" t="s">
        <v>173</v>
      </c>
      <c r="F149" s="284">
        <v>33.01</v>
      </c>
      <c r="G149" s="284">
        <v>355.31963999999994</v>
      </c>
      <c r="H149" s="285">
        <v>390.85160399999995</v>
      </c>
      <c r="I149" s="289" t="s">
        <v>211</v>
      </c>
      <c r="J149" s="285" t="s">
        <v>266</v>
      </c>
    </row>
    <row r="150" spans="1:10" ht="16.5" x14ac:dyDescent="0.3">
      <c r="A150" s="276">
        <v>149</v>
      </c>
      <c r="B150" s="276" t="s">
        <v>34</v>
      </c>
      <c r="C150" s="277" t="s">
        <v>231</v>
      </c>
      <c r="D150" s="278">
        <v>1908</v>
      </c>
      <c r="E150" s="278" t="s">
        <v>172</v>
      </c>
      <c r="F150" s="282">
        <v>54.17</v>
      </c>
      <c r="G150" s="282">
        <v>583.08587999999997</v>
      </c>
      <c r="H150" s="283">
        <v>641.39446800000007</v>
      </c>
      <c r="I150" s="288" t="s">
        <v>211</v>
      </c>
      <c r="J150" s="283" t="s">
        <v>266</v>
      </c>
    </row>
    <row r="151" spans="1:10" ht="16.5" x14ac:dyDescent="0.3">
      <c r="A151" s="279">
        <v>150</v>
      </c>
      <c r="B151" s="279" t="s">
        <v>34</v>
      </c>
      <c r="C151" s="280" t="s">
        <v>231</v>
      </c>
      <c r="D151" s="281">
        <v>1910</v>
      </c>
      <c r="E151" s="281" t="s">
        <v>173</v>
      </c>
      <c r="F151" s="284">
        <v>33.01</v>
      </c>
      <c r="G151" s="284">
        <v>355.31963999999994</v>
      </c>
      <c r="H151" s="285">
        <v>390.85160399999995</v>
      </c>
      <c r="I151" s="289" t="s">
        <v>211</v>
      </c>
      <c r="J151" s="285" t="s">
        <v>266</v>
      </c>
    </row>
    <row r="152" spans="1:10" ht="16.5" x14ac:dyDescent="0.3">
      <c r="A152" s="276">
        <v>151</v>
      </c>
      <c r="B152" s="276" t="s">
        <v>34</v>
      </c>
      <c r="C152" s="277" t="s">
        <v>232</v>
      </c>
      <c r="D152" s="278">
        <v>2010</v>
      </c>
      <c r="E152" s="278" t="s">
        <v>173</v>
      </c>
      <c r="F152" s="282">
        <v>33.01</v>
      </c>
      <c r="G152" s="282">
        <v>355.31963999999994</v>
      </c>
      <c r="H152" s="283">
        <v>390.85160399999995</v>
      </c>
      <c r="I152" s="288" t="s">
        <v>211</v>
      </c>
      <c r="J152" s="283" t="s">
        <v>265</v>
      </c>
    </row>
    <row r="153" spans="1:10" ht="16.5" x14ac:dyDescent="0.3">
      <c r="A153" s="279">
        <v>152</v>
      </c>
      <c r="B153" s="279" t="s">
        <v>35</v>
      </c>
      <c r="C153" s="280" t="s">
        <v>213</v>
      </c>
      <c r="D153" s="281">
        <v>101</v>
      </c>
      <c r="E153" s="281" t="s">
        <v>253</v>
      </c>
      <c r="F153" s="284">
        <v>33.159999999999997</v>
      </c>
      <c r="G153" s="284">
        <v>356.93423999999993</v>
      </c>
      <c r="H153" s="285">
        <v>392.62766399999998</v>
      </c>
      <c r="I153" s="289" t="s">
        <v>211</v>
      </c>
      <c r="J153" s="285" t="s">
        <v>266</v>
      </c>
    </row>
    <row r="154" spans="1:10" ht="16.5" x14ac:dyDescent="0.3">
      <c r="A154" s="276">
        <v>153</v>
      </c>
      <c r="B154" s="276" t="s">
        <v>35</v>
      </c>
      <c r="C154" s="277" t="s">
        <v>213</v>
      </c>
      <c r="D154" s="278">
        <v>103</v>
      </c>
      <c r="E154" s="278" t="s">
        <v>251</v>
      </c>
      <c r="F154" s="282">
        <v>56.33</v>
      </c>
      <c r="G154" s="282">
        <v>606.33611999999994</v>
      </c>
      <c r="H154" s="283">
        <v>666.96973200000002</v>
      </c>
      <c r="I154" s="288" t="s">
        <v>211</v>
      </c>
      <c r="J154" s="283" t="s">
        <v>265</v>
      </c>
    </row>
    <row r="155" spans="1:10" ht="16.5" x14ac:dyDescent="0.3">
      <c r="A155" s="279">
        <v>154</v>
      </c>
      <c r="B155" s="279" t="s">
        <v>35</v>
      </c>
      <c r="C155" s="280" t="s">
        <v>213</v>
      </c>
      <c r="D155" s="281">
        <v>104</v>
      </c>
      <c r="E155" s="281" t="s">
        <v>253</v>
      </c>
      <c r="F155" s="284">
        <v>33.159999999999997</v>
      </c>
      <c r="G155" s="284">
        <v>356.93423999999993</v>
      </c>
      <c r="H155" s="285">
        <v>392.62766399999998</v>
      </c>
      <c r="I155" s="289" t="s">
        <v>211</v>
      </c>
      <c r="J155" s="285" t="s">
        <v>266</v>
      </c>
    </row>
    <row r="156" spans="1:10" ht="16.5" x14ac:dyDescent="0.3">
      <c r="A156" s="276">
        <v>155</v>
      </c>
      <c r="B156" s="276" t="s">
        <v>35</v>
      </c>
      <c r="C156" s="277" t="s">
        <v>213</v>
      </c>
      <c r="D156" s="278">
        <v>109</v>
      </c>
      <c r="E156" s="278" t="s">
        <v>251</v>
      </c>
      <c r="F156" s="291">
        <v>45.02</v>
      </c>
      <c r="G156" s="282">
        <v>484.59528</v>
      </c>
      <c r="H156" s="283">
        <v>533.05480800000009</v>
      </c>
      <c r="I156" s="288" t="s">
        <v>167</v>
      </c>
      <c r="J156" s="283" t="s">
        <v>266</v>
      </c>
    </row>
    <row r="157" spans="1:10" ht="16.5" x14ac:dyDescent="0.3">
      <c r="A157" s="279">
        <v>156</v>
      </c>
      <c r="B157" s="279" t="s">
        <v>35</v>
      </c>
      <c r="C157" s="280" t="s">
        <v>213</v>
      </c>
      <c r="D157" s="281">
        <v>110</v>
      </c>
      <c r="E157" s="281" t="s">
        <v>251</v>
      </c>
      <c r="F157" s="292">
        <v>45.02</v>
      </c>
      <c r="G157" s="284">
        <v>484.59528</v>
      </c>
      <c r="H157" s="285">
        <v>533.05480800000009</v>
      </c>
      <c r="I157" s="289" t="s">
        <v>167</v>
      </c>
      <c r="J157" s="285" t="s">
        <v>266</v>
      </c>
    </row>
    <row r="158" spans="1:10" ht="16.5" x14ac:dyDescent="0.3">
      <c r="A158" s="276">
        <v>157</v>
      </c>
      <c r="B158" s="276" t="s">
        <v>35</v>
      </c>
      <c r="C158" s="277" t="s">
        <v>214</v>
      </c>
      <c r="D158" s="278">
        <v>201</v>
      </c>
      <c r="E158" s="278" t="s">
        <v>253</v>
      </c>
      <c r="F158" s="291">
        <v>33.159999999999997</v>
      </c>
      <c r="G158" s="282">
        <v>356.93423999999993</v>
      </c>
      <c r="H158" s="283">
        <v>392.62766399999998</v>
      </c>
      <c r="I158" s="288" t="s">
        <v>211</v>
      </c>
      <c r="J158" s="283" t="s">
        <v>266</v>
      </c>
    </row>
    <row r="159" spans="1:10" ht="16.5" x14ac:dyDescent="0.3">
      <c r="A159" s="279">
        <v>158</v>
      </c>
      <c r="B159" s="279" t="s">
        <v>35</v>
      </c>
      <c r="C159" s="280" t="s">
        <v>214</v>
      </c>
      <c r="D159" s="281">
        <v>202</v>
      </c>
      <c r="E159" s="281" t="s">
        <v>251</v>
      </c>
      <c r="F159" s="292">
        <v>56.33</v>
      </c>
      <c r="G159" s="284">
        <v>606.33611999999994</v>
      </c>
      <c r="H159" s="285">
        <v>666.96973200000002</v>
      </c>
      <c r="I159" s="289" t="s">
        <v>211</v>
      </c>
      <c r="J159" s="285" t="s">
        <v>265</v>
      </c>
    </row>
    <row r="160" spans="1:10" ht="16.5" x14ac:dyDescent="0.3">
      <c r="A160" s="276">
        <v>159</v>
      </c>
      <c r="B160" s="276" t="s">
        <v>35</v>
      </c>
      <c r="C160" s="277" t="s">
        <v>214</v>
      </c>
      <c r="D160" s="278">
        <v>203</v>
      </c>
      <c r="E160" s="278" t="s">
        <v>251</v>
      </c>
      <c r="F160" s="291">
        <v>56.33</v>
      </c>
      <c r="G160" s="282">
        <v>606.33611999999994</v>
      </c>
      <c r="H160" s="283">
        <v>666.96973200000002</v>
      </c>
      <c r="I160" s="288" t="s">
        <v>211</v>
      </c>
      <c r="J160" s="283" t="s">
        <v>265</v>
      </c>
    </row>
    <row r="161" spans="1:10" ht="16.5" x14ac:dyDescent="0.3">
      <c r="A161" s="279">
        <v>160</v>
      </c>
      <c r="B161" s="279" t="s">
        <v>35</v>
      </c>
      <c r="C161" s="280" t="s">
        <v>214</v>
      </c>
      <c r="D161" s="281">
        <v>204</v>
      </c>
      <c r="E161" s="281" t="s">
        <v>253</v>
      </c>
      <c r="F161" s="292">
        <v>33.159999999999997</v>
      </c>
      <c r="G161" s="284">
        <v>356.93423999999993</v>
      </c>
      <c r="H161" s="285">
        <v>392.62766399999998</v>
      </c>
      <c r="I161" s="289" t="s">
        <v>211</v>
      </c>
      <c r="J161" s="285" t="s">
        <v>266</v>
      </c>
    </row>
    <row r="162" spans="1:10" ht="16.5" x14ac:dyDescent="0.3">
      <c r="A162" s="276">
        <v>161</v>
      </c>
      <c r="B162" s="276" t="s">
        <v>35</v>
      </c>
      <c r="C162" s="277" t="s">
        <v>214</v>
      </c>
      <c r="D162" s="278">
        <v>208</v>
      </c>
      <c r="E162" s="278" t="s">
        <v>254</v>
      </c>
      <c r="F162" s="291">
        <v>88.58</v>
      </c>
      <c r="G162" s="282">
        <v>953.47511999999995</v>
      </c>
      <c r="H162" s="283">
        <v>1048.8226320000001</v>
      </c>
      <c r="I162" s="288" t="s">
        <v>211</v>
      </c>
      <c r="J162" s="283" t="s">
        <v>265</v>
      </c>
    </row>
    <row r="163" spans="1:10" ht="16.5" x14ac:dyDescent="0.3">
      <c r="A163" s="279">
        <v>162</v>
      </c>
      <c r="B163" s="279" t="s">
        <v>35</v>
      </c>
      <c r="C163" s="280" t="s">
        <v>214</v>
      </c>
      <c r="D163" s="281">
        <v>209</v>
      </c>
      <c r="E163" s="281" t="s">
        <v>251</v>
      </c>
      <c r="F163" s="292">
        <v>45.02</v>
      </c>
      <c r="G163" s="284">
        <v>484.59528</v>
      </c>
      <c r="H163" s="285">
        <v>533.05480800000009</v>
      </c>
      <c r="I163" s="289" t="s">
        <v>167</v>
      </c>
      <c r="J163" s="285" t="s">
        <v>266</v>
      </c>
    </row>
    <row r="164" spans="1:10" ht="16.5" x14ac:dyDescent="0.3">
      <c r="A164" s="276">
        <v>163</v>
      </c>
      <c r="B164" s="276" t="s">
        <v>35</v>
      </c>
      <c r="C164" s="277" t="s">
        <v>214</v>
      </c>
      <c r="D164" s="278">
        <v>210</v>
      </c>
      <c r="E164" s="278" t="s">
        <v>251</v>
      </c>
      <c r="F164" s="291">
        <v>45.02</v>
      </c>
      <c r="G164" s="282">
        <v>484.59528</v>
      </c>
      <c r="H164" s="283">
        <v>533.05480800000009</v>
      </c>
      <c r="I164" s="288" t="s">
        <v>167</v>
      </c>
      <c r="J164" s="283" t="s">
        <v>266</v>
      </c>
    </row>
    <row r="165" spans="1:10" ht="16.5" x14ac:dyDescent="0.3">
      <c r="A165" s="279">
        <v>164</v>
      </c>
      <c r="B165" s="279" t="s">
        <v>35</v>
      </c>
      <c r="C165" s="280" t="s">
        <v>215</v>
      </c>
      <c r="D165" s="281">
        <v>301</v>
      </c>
      <c r="E165" s="281" t="s">
        <v>253</v>
      </c>
      <c r="F165" s="292">
        <v>33.159999999999997</v>
      </c>
      <c r="G165" s="284">
        <v>356.93423999999993</v>
      </c>
      <c r="H165" s="285">
        <v>392.62766399999998</v>
      </c>
      <c r="I165" s="289" t="s">
        <v>211</v>
      </c>
      <c r="J165" s="285" t="s">
        <v>266</v>
      </c>
    </row>
    <row r="166" spans="1:10" ht="16.5" x14ac:dyDescent="0.3">
      <c r="A166" s="276">
        <v>165</v>
      </c>
      <c r="B166" s="276" t="s">
        <v>35</v>
      </c>
      <c r="C166" s="277" t="s">
        <v>215</v>
      </c>
      <c r="D166" s="278">
        <v>302</v>
      </c>
      <c r="E166" s="278" t="s">
        <v>251</v>
      </c>
      <c r="F166" s="291">
        <v>56.33</v>
      </c>
      <c r="G166" s="282">
        <v>606.33611999999994</v>
      </c>
      <c r="H166" s="283">
        <v>666.96973200000002</v>
      </c>
      <c r="I166" s="288" t="s">
        <v>211</v>
      </c>
      <c r="J166" s="283" t="s">
        <v>266</v>
      </c>
    </row>
    <row r="167" spans="1:10" ht="16.5" x14ac:dyDescent="0.3">
      <c r="A167" s="279">
        <v>166</v>
      </c>
      <c r="B167" s="279" t="s">
        <v>35</v>
      </c>
      <c r="C167" s="280" t="s">
        <v>215</v>
      </c>
      <c r="D167" s="281">
        <v>303</v>
      </c>
      <c r="E167" s="281" t="s">
        <v>251</v>
      </c>
      <c r="F167" s="292">
        <v>56.33</v>
      </c>
      <c r="G167" s="284">
        <v>606.33611999999994</v>
      </c>
      <c r="H167" s="285">
        <v>666.96973200000002</v>
      </c>
      <c r="I167" s="289" t="s">
        <v>211</v>
      </c>
      <c r="J167" s="285" t="s">
        <v>265</v>
      </c>
    </row>
    <row r="168" spans="1:10" ht="16.5" x14ac:dyDescent="0.3">
      <c r="A168" s="276">
        <v>167</v>
      </c>
      <c r="B168" s="276" t="s">
        <v>35</v>
      </c>
      <c r="C168" s="277" t="s">
        <v>215</v>
      </c>
      <c r="D168" s="278">
        <v>304</v>
      </c>
      <c r="E168" s="278" t="s">
        <v>253</v>
      </c>
      <c r="F168" s="291">
        <v>33.159999999999997</v>
      </c>
      <c r="G168" s="282">
        <v>356.93423999999993</v>
      </c>
      <c r="H168" s="283">
        <v>392.62766399999998</v>
      </c>
      <c r="I168" s="288" t="s">
        <v>211</v>
      </c>
      <c r="J168" s="283" t="s">
        <v>266</v>
      </c>
    </row>
    <row r="169" spans="1:10" ht="16.5" x14ac:dyDescent="0.3">
      <c r="A169" s="279">
        <v>168</v>
      </c>
      <c r="B169" s="279" t="s">
        <v>35</v>
      </c>
      <c r="C169" s="280" t="s">
        <v>215</v>
      </c>
      <c r="D169" s="281">
        <v>307</v>
      </c>
      <c r="E169" s="281" t="s">
        <v>254</v>
      </c>
      <c r="F169" s="292">
        <v>88.58</v>
      </c>
      <c r="G169" s="284">
        <v>953.47511999999995</v>
      </c>
      <c r="H169" s="285">
        <v>1048.8226320000001</v>
      </c>
      <c r="I169" s="289" t="s">
        <v>211</v>
      </c>
      <c r="J169" s="285" t="s">
        <v>265</v>
      </c>
    </row>
    <row r="170" spans="1:10" ht="16.5" x14ac:dyDescent="0.3">
      <c r="A170" s="276">
        <v>169</v>
      </c>
      <c r="B170" s="276" t="s">
        <v>35</v>
      </c>
      <c r="C170" s="277" t="s">
        <v>215</v>
      </c>
      <c r="D170" s="278">
        <v>309</v>
      </c>
      <c r="E170" s="278" t="s">
        <v>251</v>
      </c>
      <c r="F170" s="291">
        <v>45.02</v>
      </c>
      <c r="G170" s="282">
        <v>484.59528</v>
      </c>
      <c r="H170" s="283">
        <v>533.05480800000009</v>
      </c>
      <c r="I170" s="288" t="s">
        <v>167</v>
      </c>
      <c r="J170" s="283" t="s">
        <v>266</v>
      </c>
    </row>
    <row r="171" spans="1:10" ht="16.5" x14ac:dyDescent="0.3">
      <c r="A171" s="279">
        <v>170</v>
      </c>
      <c r="B171" s="279" t="s">
        <v>35</v>
      </c>
      <c r="C171" s="280" t="s">
        <v>215</v>
      </c>
      <c r="D171" s="281">
        <v>310</v>
      </c>
      <c r="E171" s="281" t="s">
        <v>251</v>
      </c>
      <c r="F171" s="292">
        <v>45.02</v>
      </c>
      <c r="G171" s="284">
        <v>484.59528</v>
      </c>
      <c r="H171" s="285">
        <v>533.05480800000009</v>
      </c>
      <c r="I171" s="289" t="s">
        <v>167</v>
      </c>
      <c r="J171" s="285" t="s">
        <v>266</v>
      </c>
    </row>
    <row r="172" spans="1:10" ht="16.5" x14ac:dyDescent="0.3">
      <c r="A172" s="276">
        <v>171</v>
      </c>
      <c r="B172" s="276" t="s">
        <v>35</v>
      </c>
      <c r="C172" s="277" t="s">
        <v>216</v>
      </c>
      <c r="D172" s="278">
        <v>401</v>
      </c>
      <c r="E172" s="278" t="s">
        <v>173</v>
      </c>
      <c r="F172" s="291">
        <v>33.159999999999997</v>
      </c>
      <c r="G172" s="282">
        <v>356.93423999999993</v>
      </c>
      <c r="H172" s="283">
        <v>392.62766399999998</v>
      </c>
      <c r="I172" s="288" t="s">
        <v>211</v>
      </c>
      <c r="J172" s="283" t="s">
        <v>266</v>
      </c>
    </row>
    <row r="173" spans="1:10" ht="16.5" x14ac:dyDescent="0.3">
      <c r="A173" s="279">
        <v>172</v>
      </c>
      <c r="B173" s="279" t="s">
        <v>35</v>
      </c>
      <c r="C173" s="280" t="s">
        <v>216</v>
      </c>
      <c r="D173" s="281">
        <v>403</v>
      </c>
      <c r="E173" s="281" t="s">
        <v>172</v>
      </c>
      <c r="F173" s="292">
        <v>58.59</v>
      </c>
      <c r="G173" s="284">
        <v>630.66276000000005</v>
      </c>
      <c r="H173" s="285">
        <v>693.72903600000006</v>
      </c>
      <c r="I173" s="289" t="s">
        <v>211</v>
      </c>
      <c r="J173" s="285" t="s">
        <v>265</v>
      </c>
    </row>
    <row r="174" spans="1:10" ht="16.5" x14ac:dyDescent="0.3">
      <c r="A174" s="276">
        <v>173</v>
      </c>
      <c r="B174" s="276" t="s">
        <v>35</v>
      </c>
      <c r="C174" s="277" t="s">
        <v>216</v>
      </c>
      <c r="D174" s="278">
        <v>404</v>
      </c>
      <c r="E174" s="278" t="s">
        <v>173</v>
      </c>
      <c r="F174" s="291">
        <v>33.159999999999997</v>
      </c>
      <c r="G174" s="282">
        <v>356.93423999999993</v>
      </c>
      <c r="H174" s="283">
        <v>392.62766399999998</v>
      </c>
      <c r="I174" s="288" t="s">
        <v>211</v>
      </c>
      <c r="J174" s="283" t="s">
        <v>266</v>
      </c>
    </row>
    <row r="175" spans="1:10" ht="16.5" x14ac:dyDescent="0.3">
      <c r="A175" s="279">
        <v>174</v>
      </c>
      <c r="B175" s="279" t="s">
        <v>35</v>
      </c>
      <c r="C175" s="280" t="s">
        <v>216</v>
      </c>
      <c r="D175" s="281">
        <v>405</v>
      </c>
      <c r="E175" s="281" t="s">
        <v>173</v>
      </c>
      <c r="F175" s="292">
        <v>33.44</v>
      </c>
      <c r="G175" s="284">
        <v>359.94815999999997</v>
      </c>
      <c r="H175" s="285">
        <v>395.94297599999999</v>
      </c>
      <c r="I175" s="289" t="s">
        <v>211</v>
      </c>
      <c r="J175" s="285" t="s">
        <v>266</v>
      </c>
    </row>
    <row r="176" spans="1:10" ht="16.5" x14ac:dyDescent="0.3">
      <c r="A176" s="276">
        <v>175</v>
      </c>
      <c r="B176" s="276" t="s">
        <v>35</v>
      </c>
      <c r="C176" s="277" t="s">
        <v>216</v>
      </c>
      <c r="D176" s="278">
        <v>409</v>
      </c>
      <c r="E176" s="278" t="s">
        <v>172</v>
      </c>
      <c r="F176" s="291">
        <v>45.02</v>
      </c>
      <c r="G176" s="282">
        <v>484.59528</v>
      </c>
      <c r="H176" s="283">
        <v>533.05480800000009</v>
      </c>
      <c r="I176" s="288" t="s">
        <v>211</v>
      </c>
      <c r="J176" s="283" t="s">
        <v>266</v>
      </c>
    </row>
    <row r="177" spans="1:10" ht="16.5" x14ac:dyDescent="0.3">
      <c r="A177" s="279">
        <v>176</v>
      </c>
      <c r="B177" s="279" t="s">
        <v>35</v>
      </c>
      <c r="C177" s="280" t="s">
        <v>217</v>
      </c>
      <c r="D177" s="281">
        <v>504</v>
      </c>
      <c r="E177" s="281" t="s">
        <v>173</v>
      </c>
      <c r="F177" s="292">
        <v>33.159999999999997</v>
      </c>
      <c r="G177" s="284">
        <v>356.93423999999993</v>
      </c>
      <c r="H177" s="285">
        <v>392.62766399999998</v>
      </c>
      <c r="I177" s="289" t="s">
        <v>211</v>
      </c>
      <c r="J177" s="285" t="s">
        <v>266</v>
      </c>
    </row>
    <row r="178" spans="1:10" ht="16.5" x14ac:dyDescent="0.3">
      <c r="A178" s="276">
        <v>177</v>
      </c>
      <c r="B178" s="276" t="s">
        <v>35</v>
      </c>
      <c r="C178" s="277" t="s">
        <v>217</v>
      </c>
      <c r="D178" s="278">
        <v>505</v>
      </c>
      <c r="E178" s="278" t="s">
        <v>173</v>
      </c>
      <c r="F178" s="291">
        <v>33.44</v>
      </c>
      <c r="G178" s="282">
        <v>359.94815999999997</v>
      </c>
      <c r="H178" s="283">
        <v>395.94297599999999</v>
      </c>
      <c r="I178" s="288" t="s">
        <v>211</v>
      </c>
      <c r="J178" s="283" t="s">
        <v>266</v>
      </c>
    </row>
    <row r="179" spans="1:10" ht="16.5" x14ac:dyDescent="0.3">
      <c r="A179" s="279">
        <v>178</v>
      </c>
      <c r="B179" s="279" t="s">
        <v>35</v>
      </c>
      <c r="C179" s="280" t="s">
        <v>217</v>
      </c>
      <c r="D179" s="281">
        <v>506</v>
      </c>
      <c r="E179" s="281" t="s">
        <v>173</v>
      </c>
      <c r="F179" s="292">
        <v>33.44</v>
      </c>
      <c r="G179" s="284">
        <v>359.94815999999997</v>
      </c>
      <c r="H179" s="285">
        <v>395.94297599999999</v>
      </c>
      <c r="I179" s="289" t="s">
        <v>211</v>
      </c>
      <c r="J179" s="285" t="s">
        <v>265</v>
      </c>
    </row>
    <row r="180" spans="1:10" ht="16.5" x14ac:dyDescent="0.3">
      <c r="A180" s="276">
        <v>179</v>
      </c>
      <c r="B180" s="276" t="s">
        <v>35</v>
      </c>
      <c r="C180" s="277" t="s">
        <v>217</v>
      </c>
      <c r="D180" s="278">
        <v>509</v>
      </c>
      <c r="E180" s="278" t="s">
        <v>172</v>
      </c>
      <c r="F180" s="291">
        <v>65.16</v>
      </c>
      <c r="G180" s="282">
        <v>701.38223999999991</v>
      </c>
      <c r="H180" s="283">
        <v>771.52046399999995</v>
      </c>
      <c r="I180" s="288" t="s">
        <v>211</v>
      </c>
      <c r="J180" s="283" t="s">
        <v>265</v>
      </c>
    </row>
    <row r="181" spans="1:10" ht="16.5" x14ac:dyDescent="0.3">
      <c r="A181" s="279">
        <v>180</v>
      </c>
      <c r="B181" s="279" t="s">
        <v>35</v>
      </c>
      <c r="C181" s="280" t="s">
        <v>218</v>
      </c>
      <c r="D181" s="281">
        <v>601</v>
      </c>
      <c r="E181" s="281" t="s">
        <v>173</v>
      </c>
      <c r="F181" s="292">
        <v>33.11</v>
      </c>
      <c r="G181" s="284">
        <v>356.39603999999997</v>
      </c>
      <c r="H181" s="285">
        <v>392.03564399999999</v>
      </c>
      <c r="I181" s="289" t="s">
        <v>211</v>
      </c>
      <c r="J181" s="285" t="s">
        <v>266</v>
      </c>
    </row>
    <row r="182" spans="1:10" ht="16.5" x14ac:dyDescent="0.3">
      <c r="A182" s="276">
        <v>181</v>
      </c>
      <c r="B182" s="276" t="s">
        <v>35</v>
      </c>
      <c r="C182" s="277" t="s">
        <v>218</v>
      </c>
      <c r="D182" s="278">
        <v>604</v>
      </c>
      <c r="E182" s="278" t="s">
        <v>173</v>
      </c>
      <c r="F182" s="291">
        <v>33.159999999999997</v>
      </c>
      <c r="G182" s="282">
        <v>356.93423999999993</v>
      </c>
      <c r="H182" s="283">
        <v>392.62766399999998</v>
      </c>
      <c r="I182" s="288" t="s">
        <v>211</v>
      </c>
      <c r="J182" s="283" t="s">
        <v>266</v>
      </c>
    </row>
    <row r="183" spans="1:10" ht="16.5" x14ac:dyDescent="0.3">
      <c r="A183" s="279">
        <v>182</v>
      </c>
      <c r="B183" s="279" t="s">
        <v>35</v>
      </c>
      <c r="C183" s="280" t="s">
        <v>218</v>
      </c>
      <c r="D183" s="281">
        <v>605</v>
      </c>
      <c r="E183" s="281" t="s">
        <v>253</v>
      </c>
      <c r="F183" s="292">
        <v>33.44</v>
      </c>
      <c r="G183" s="284">
        <v>359.94815999999997</v>
      </c>
      <c r="H183" s="285">
        <v>395.94297599999999</v>
      </c>
      <c r="I183" s="289" t="s">
        <v>211</v>
      </c>
      <c r="J183" s="285" t="s">
        <v>266</v>
      </c>
    </row>
    <row r="184" spans="1:10" ht="16.5" x14ac:dyDescent="0.3">
      <c r="A184" s="276">
        <v>183</v>
      </c>
      <c r="B184" s="295" t="s">
        <v>35</v>
      </c>
      <c r="C184" s="296" t="s">
        <v>218</v>
      </c>
      <c r="D184" s="297">
        <v>607</v>
      </c>
      <c r="E184" s="297" t="s">
        <v>174</v>
      </c>
      <c r="F184" s="298">
        <v>88.58</v>
      </c>
      <c r="G184" s="299">
        <v>953.47511999999995</v>
      </c>
      <c r="H184" s="300">
        <v>1048.8226320000001</v>
      </c>
      <c r="I184" s="301" t="s">
        <v>211</v>
      </c>
      <c r="J184" s="300" t="s">
        <v>265</v>
      </c>
    </row>
    <row r="185" spans="1:10" ht="16.5" x14ac:dyDescent="0.3">
      <c r="A185" s="279">
        <v>184</v>
      </c>
      <c r="B185" s="279" t="s">
        <v>35</v>
      </c>
      <c r="C185" s="280" t="s">
        <v>218</v>
      </c>
      <c r="D185" s="281">
        <v>610</v>
      </c>
      <c r="E185" s="281" t="s">
        <v>172</v>
      </c>
      <c r="F185" s="292">
        <v>65.16</v>
      </c>
      <c r="G185" s="284">
        <v>701.38223999999991</v>
      </c>
      <c r="H185" s="285">
        <v>771.52046399999995</v>
      </c>
      <c r="I185" s="289" t="s">
        <v>211</v>
      </c>
      <c r="J185" s="285" t="s">
        <v>265</v>
      </c>
    </row>
    <row r="186" spans="1:10" ht="16.5" x14ac:dyDescent="0.3">
      <c r="A186" s="276">
        <v>185</v>
      </c>
      <c r="B186" s="276" t="s">
        <v>35</v>
      </c>
      <c r="C186" s="277" t="s">
        <v>219</v>
      </c>
      <c r="D186" s="278">
        <v>701</v>
      </c>
      <c r="E186" s="278" t="s">
        <v>173</v>
      </c>
      <c r="F186" s="291">
        <v>33.11</v>
      </c>
      <c r="G186" s="282">
        <v>356.39603999999997</v>
      </c>
      <c r="H186" s="283">
        <v>392.03564399999999</v>
      </c>
      <c r="I186" s="288" t="s">
        <v>211</v>
      </c>
      <c r="J186" s="283" t="s">
        <v>266</v>
      </c>
    </row>
    <row r="187" spans="1:10" ht="16.5" x14ac:dyDescent="0.3">
      <c r="A187" s="279">
        <v>186</v>
      </c>
      <c r="B187" s="279" t="s">
        <v>35</v>
      </c>
      <c r="C187" s="280" t="s">
        <v>219</v>
      </c>
      <c r="D187" s="281">
        <v>702</v>
      </c>
      <c r="E187" s="281" t="s">
        <v>172</v>
      </c>
      <c r="F187" s="292">
        <v>62.04</v>
      </c>
      <c r="G187" s="284">
        <v>667.79855999999995</v>
      </c>
      <c r="H187" s="285">
        <v>734.57841600000006</v>
      </c>
      <c r="I187" s="289" t="s">
        <v>211</v>
      </c>
      <c r="J187" s="285" t="s">
        <v>265</v>
      </c>
    </row>
    <row r="188" spans="1:10" ht="16.5" x14ac:dyDescent="0.3">
      <c r="A188" s="276">
        <v>187</v>
      </c>
      <c r="B188" s="276" t="s">
        <v>35</v>
      </c>
      <c r="C188" s="277" t="s">
        <v>219</v>
      </c>
      <c r="D188" s="278">
        <v>704</v>
      </c>
      <c r="E188" s="278" t="s">
        <v>173</v>
      </c>
      <c r="F188" s="291">
        <v>33.159999999999997</v>
      </c>
      <c r="G188" s="282">
        <v>356.93423999999993</v>
      </c>
      <c r="H188" s="283">
        <v>392.62766399999998</v>
      </c>
      <c r="I188" s="288" t="s">
        <v>211</v>
      </c>
      <c r="J188" s="283" t="s">
        <v>266</v>
      </c>
    </row>
    <row r="189" spans="1:10" ht="16.5" x14ac:dyDescent="0.3">
      <c r="A189" s="279">
        <v>188</v>
      </c>
      <c r="B189" s="279" t="s">
        <v>35</v>
      </c>
      <c r="C189" s="280" t="s">
        <v>220</v>
      </c>
      <c r="D189" s="281">
        <v>801</v>
      </c>
      <c r="E189" s="281" t="s">
        <v>173</v>
      </c>
      <c r="F189" s="292">
        <v>33.159999999999997</v>
      </c>
      <c r="G189" s="284">
        <v>356.93423999999993</v>
      </c>
      <c r="H189" s="285">
        <v>392.62766399999998</v>
      </c>
      <c r="I189" s="289" t="s">
        <v>211</v>
      </c>
      <c r="J189" s="285" t="s">
        <v>266</v>
      </c>
    </row>
    <row r="190" spans="1:10" ht="16.5" x14ac:dyDescent="0.3">
      <c r="A190" s="276">
        <v>189</v>
      </c>
      <c r="B190" s="276" t="s">
        <v>35</v>
      </c>
      <c r="C190" s="277" t="s">
        <v>220</v>
      </c>
      <c r="D190" s="278">
        <v>804</v>
      </c>
      <c r="E190" s="278" t="s">
        <v>173</v>
      </c>
      <c r="F190" s="291">
        <v>33.159999999999997</v>
      </c>
      <c r="G190" s="282">
        <v>356.93423999999993</v>
      </c>
      <c r="H190" s="283">
        <v>392.62766399999998</v>
      </c>
      <c r="I190" s="288" t="s">
        <v>211</v>
      </c>
      <c r="J190" s="283" t="s">
        <v>266</v>
      </c>
    </row>
    <row r="191" spans="1:10" ht="16.5" x14ac:dyDescent="0.3">
      <c r="A191" s="279">
        <v>190</v>
      </c>
      <c r="B191" s="279" t="s">
        <v>35</v>
      </c>
      <c r="C191" s="280" t="s">
        <v>221</v>
      </c>
      <c r="D191" s="281">
        <v>901</v>
      </c>
      <c r="E191" s="281" t="s">
        <v>173</v>
      </c>
      <c r="F191" s="292">
        <v>33.159999999999997</v>
      </c>
      <c r="G191" s="284">
        <v>356.93423999999993</v>
      </c>
      <c r="H191" s="285">
        <v>392.62766399999998</v>
      </c>
      <c r="I191" s="289" t="s">
        <v>211</v>
      </c>
      <c r="J191" s="285" t="s">
        <v>266</v>
      </c>
    </row>
    <row r="192" spans="1:10" ht="16.5" x14ac:dyDescent="0.3">
      <c r="A192" s="276">
        <v>191</v>
      </c>
      <c r="B192" s="276" t="s">
        <v>35</v>
      </c>
      <c r="C192" s="277" t="s">
        <v>221</v>
      </c>
      <c r="D192" s="278">
        <v>904</v>
      </c>
      <c r="E192" s="278" t="s">
        <v>173</v>
      </c>
      <c r="F192" s="291">
        <v>33.159999999999997</v>
      </c>
      <c r="G192" s="282">
        <v>356.93423999999993</v>
      </c>
      <c r="H192" s="283">
        <v>392.62766399999998</v>
      </c>
      <c r="I192" s="288" t="s">
        <v>211</v>
      </c>
      <c r="J192" s="283" t="s">
        <v>266</v>
      </c>
    </row>
    <row r="193" spans="1:10" ht="16.5" x14ac:dyDescent="0.3">
      <c r="A193" s="279">
        <v>192</v>
      </c>
      <c r="B193" s="279" t="s">
        <v>35</v>
      </c>
      <c r="C193" s="280" t="s">
        <v>221</v>
      </c>
      <c r="D193" s="281">
        <v>906</v>
      </c>
      <c r="E193" s="281" t="s">
        <v>172</v>
      </c>
      <c r="F193" s="292">
        <v>66.23</v>
      </c>
      <c r="G193" s="284">
        <v>712.89972</v>
      </c>
      <c r="H193" s="285">
        <v>784.18969200000004</v>
      </c>
      <c r="I193" s="289" t="s">
        <v>211</v>
      </c>
      <c r="J193" s="285" t="s">
        <v>265</v>
      </c>
    </row>
    <row r="194" spans="1:10" ht="16.5" x14ac:dyDescent="0.3">
      <c r="A194" s="276">
        <v>193</v>
      </c>
      <c r="B194" s="276" t="s">
        <v>35</v>
      </c>
      <c r="C194" s="277" t="s">
        <v>222</v>
      </c>
      <c r="D194" s="278">
        <v>1010</v>
      </c>
      <c r="E194" s="278" t="s">
        <v>172</v>
      </c>
      <c r="F194" s="291">
        <v>65.16</v>
      </c>
      <c r="G194" s="282">
        <v>701.38223999999991</v>
      </c>
      <c r="H194" s="283">
        <v>771.52046399999995</v>
      </c>
      <c r="I194" s="288" t="s">
        <v>211</v>
      </c>
      <c r="J194" s="283" t="s">
        <v>265</v>
      </c>
    </row>
    <row r="195" spans="1:10" ht="16.5" x14ac:dyDescent="0.3">
      <c r="A195" s="279">
        <v>194</v>
      </c>
      <c r="B195" s="279" t="s">
        <v>35</v>
      </c>
      <c r="C195" s="280" t="s">
        <v>223</v>
      </c>
      <c r="D195" s="281">
        <v>1101</v>
      </c>
      <c r="E195" s="281" t="s">
        <v>173</v>
      </c>
      <c r="F195" s="292">
        <v>33.159999999999997</v>
      </c>
      <c r="G195" s="284">
        <v>356.93423999999993</v>
      </c>
      <c r="H195" s="285">
        <v>392.62766399999998</v>
      </c>
      <c r="I195" s="289" t="s">
        <v>211</v>
      </c>
      <c r="J195" s="285" t="s">
        <v>266</v>
      </c>
    </row>
    <row r="196" spans="1:10" ht="16.5" x14ac:dyDescent="0.3">
      <c r="A196" s="276">
        <v>195</v>
      </c>
      <c r="B196" s="276" t="s">
        <v>35</v>
      </c>
      <c r="C196" s="277" t="s">
        <v>223</v>
      </c>
      <c r="D196" s="278">
        <v>1103</v>
      </c>
      <c r="E196" s="278" t="s">
        <v>172</v>
      </c>
      <c r="F196" s="291">
        <v>62.04</v>
      </c>
      <c r="G196" s="282">
        <v>667.79855999999995</v>
      </c>
      <c r="H196" s="283">
        <v>734.57841600000006</v>
      </c>
      <c r="I196" s="288" t="s">
        <v>211</v>
      </c>
      <c r="J196" s="283" t="s">
        <v>265</v>
      </c>
    </row>
    <row r="197" spans="1:10" ht="16.5" x14ac:dyDescent="0.3">
      <c r="A197" s="279">
        <v>196</v>
      </c>
      <c r="B197" s="279" t="s">
        <v>35</v>
      </c>
      <c r="C197" s="280" t="s">
        <v>223</v>
      </c>
      <c r="D197" s="281">
        <v>1104</v>
      </c>
      <c r="E197" s="281" t="s">
        <v>173</v>
      </c>
      <c r="F197" s="292">
        <v>33.159999999999997</v>
      </c>
      <c r="G197" s="284">
        <v>356.93423999999993</v>
      </c>
      <c r="H197" s="285">
        <v>392.62766399999998</v>
      </c>
      <c r="I197" s="289" t="s">
        <v>211</v>
      </c>
      <c r="J197" s="285" t="s">
        <v>266</v>
      </c>
    </row>
    <row r="198" spans="1:10" ht="16.5" x14ac:dyDescent="0.3">
      <c r="A198" s="276">
        <v>197</v>
      </c>
      <c r="B198" s="276" t="s">
        <v>35</v>
      </c>
      <c r="C198" s="277" t="s">
        <v>223</v>
      </c>
      <c r="D198" s="278">
        <v>1105</v>
      </c>
      <c r="E198" s="278" t="s">
        <v>172</v>
      </c>
      <c r="F198" s="291">
        <v>66.23</v>
      </c>
      <c r="G198" s="282">
        <v>712.89972</v>
      </c>
      <c r="H198" s="283">
        <v>784.18969200000004</v>
      </c>
      <c r="I198" s="288" t="s">
        <v>211</v>
      </c>
      <c r="J198" s="283" t="s">
        <v>265</v>
      </c>
    </row>
    <row r="199" spans="1:10" ht="16.5" x14ac:dyDescent="0.3">
      <c r="A199" s="279">
        <v>198</v>
      </c>
      <c r="B199" s="279" t="s">
        <v>35</v>
      </c>
      <c r="C199" s="280" t="s">
        <v>224</v>
      </c>
      <c r="D199" s="281">
        <v>1201</v>
      </c>
      <c r="E199" s="281" t="s">
        <v>173</v>
      </c>
      <c r="F199" s="292">
        <v>33.159999999999997</v>
      </c>
      <c r="G199" s="284">
        <v>356.93423999999993</v>
      </c>
      <c r="H199" s="285">
        <v>392.62766399999998</v>
      </c>
      <c r="I199" s="289" t="s">
        <v>211</v>
      </c>
      <c r="J199" s="285" t="s">
        <v>266</v>
      </c>
    </row>
    <row r="200" spans="1:10" ht="16.5" x14ac:dyDescent="0.3">
      <c r="A200" s="276">
        <v>199</v>
      </c>
      <c r="B200" s="276" t="s">
        <v>35</v>
      </c>
      <c r="C200" s="277" t="s">
        <v>224</v>
      </c>
      <c r="D200" s="278">
        <v>1202</v>
      </c>
      <c r="E200" s="278" t="s">
        <v>172</v>
      </c>
      <c r="F200" s="291">
        <v>62.04</v>
      </c>
      <c r="G200" s="282">
        <v>667.79855999999995</v>
      </c>
      <c r="H200" s="283">
        <v>734.57841600000006</v>
      </c>
      <c r="I200" s="288" t="s">
        <v>211</v>
      </c>
      <c r="J200" s="283" t="s">
        <v>265</v>
      </c>
    </row>
    <row r="201" spans="1:10" ht="16.5" x14ac:dyDescent="0.3">
      <c r="A201" s="279">
        <v>200</v>
      </c>
      <c r="B201" s="279" t="s">
        <v>35</v>
      </c>
      <c r="C201" s="280" t="s">
        <v>224</v>
      </c>
      <c r="D201" s="281">
        <v>1204</v>
      </c>
      <c r="E201" s="281" t="s">
        <v>173</v>
      </c>
      <c r="F201" s="292">
        <v>33.159999999999997</v>
      </c>
      <c r="G201" s="284">
        <v>356.93423999999993</v>
      </c>
      <c r="H201" s="285">
        <v>392.62766399999998</v>
      </c>
      <c r="I201" s="289" t="s">
        <v>167</v>
      </c>
      <c r="J201" s="285" t="s">
        <v>266</v>
      </c>
    </row>
    <row r="202" spans="1:10" ht="16.5" x14ac:dyDescent="0.3">
      <c r="A202" s="276">
        <v>201</v>
      </c>
      <c r="B202" s="276" t="s">
        <v>35</v>
      </c>
      <c r="C202" s="277" t="s">
        <v>224</v>
      </c>
      <c r="D202" s="278">
        <v>1207</v>
      </c>
      <c r="E202" s="278" t="s">
        <v>174</v>
      </c>
      <c r="F202" s="291">
        <v>88.58</v>
      </c>
      <c r="G202" s="282">
        <v>953.47511999999995</v>
      </c>
      <c r="H202" s="283">
        <v>1048.8226320000001</v>
      </c>
      <c r="I202" s="288" t="s">
        <v>211</v>
      </c>
      <c r="J202" s="283" t="s">
        <v>265</v>
      </c>
    </row>
    <row r="203" spans="1:10" ht="16.5" x14ac:dyDescent="0.3">
      <c r="A203" s="279">
        <v>202</v>
      </c>
      <c r="B203" s="279" t="s">
        <v>35</v>
      </c>
      <c r="C203" s="280" t="s">
        <v>225</v>
      </c>
      <c r="D203" s="281">
        <v>1301</v>
      </c>
      <c r="E203" s="281" t="s">
        <v>173</v>
      </c>
      <c r="F203" s="292">
        <v>33.159999999999997</v>
      </c>
      <c r="G203" s="284">
        <v>356.93423999999993</v>
      </c>
      <c r="H203" s="285">
        <v>392.62766399999998</v>
      </c>
      <c r="I203" s="289" t="s">
        <v>211</v>
      </c>
      <c r="J203" s="285" t="s">
        <v>266</v>
      </c>
    </row>
    <row r="204" spans="1:10" ht="16.5" x14ac:dyDescent="0.3">
      <c r="A204" s="276">
        <v>203</v>
      </c>
      <c r="B204" s="276" t="s">
        <v>35</v>
      </c>
      <c r="C204" s="277" t="s">
        <v>225</v>
      </c>
      <c r="D204" s="278">
        <v>1302</v>
      </c>
      <c r="E204" s="278" t="s">
        <v>172</v>
      </c>
      <c r="F204" s="291">
        <v>62.04</v>
      </c>
      <c r="G204" s="282">
        <v>667.79855999999995</v>
      </c>
      <c r="H204" s="283">
        <v>734.57841600000006</v>
      </c>
      <c r="I204" s="288" t="s">
        <v>211</v>
      </c>
      <c r="J204" s="283" t="s">
        <v>265</v>
      </c>
    </row>
    <row r="205" spans="1:10" ht="16.5" x14ac:dyDescent="0.3">
      <c r="A205" s="279">
        <v>204</v>
      </c>
      <c r="B205" s="279" t="s">
        <v>35</v>
      </c>
      <c r="C205" s="280" t="s">
        <v>225</v>
      </c>
      <c r="D205" s="281">
        <v>1304</v>
      </c>
      <c r="E205" s="281" t="s">
        <v>173</v>
      </c>
      <c r="F205" s="292">
        <v>33.159999999999997</v>
      </c>
      <c r="G205" s="284">
        <v>356.93423999999993</v>
      </c>
      <c r="H205" s="285">
        <v>392.62766399999998</v>
      </c>
      <c r="I205" s="289" t="s">
        <v>167</v>
      </c>
      <c r="J205" s="285" t="s">
        <v>266</v>
      </c>
    </row>
    <row r="206" spans="1:10" ht="16.5" x14ac:dyDescent="0.3">
      <c r="A206" s="276">
        <v>205</v>
      </c>
      <c r="B206" s="276" t="s">
        <v>35</v>
      </c>
      <c r="C206" s="277" t="s">
        <v>226</v>
      </c>
      <c r="D206" s="278">
        <v>1401</v>
      </c>
      <c r="E206" s="278" t="s">
        <v>173</v>
      </c>
      <c r="F206" s="291">
        <v>33.159999999999997</v>
      </c>
      <c r="G206" s="282">
        <v>356.93423999999993</v>
      </c>
      <c r="H206" s="283">
        <v>392.62766399999998</v>
      </c>
      <c r="I206" s="288" t="s">
        <v>211</v>
      </c>
      <c r="J206" s="283" t="s">
        <v>266</v>
      </c>
    </row>
    <row r="207" spans="1:10" ht="16.5" x14ac:dyDescent="0.3">
      <c r="A207" s="279">
        <v>206</v>
      </c>
      <c r="B207" s="279" t="s">
        <v>35</v>
      </c>
      <c r="C207" s="280" t="s">
        <v>226</v>
      </c>
      <c r="D207" s="281">
        <v>1403</v>
      </c>
      <c r="E207" s="281" t="s">
        <v>172</v>
      </c>
      <c r="F207" s="292">
        <v>62.04</v>
      </c>
      <c r="G207" s="284">
        <v>667.79855999999995</v>
      </c>
      <c r="H207" s="285">
        <v>734.57841600000006</v>
      </c>
      <c r="I207" s="289" t="s">
        <v>211</v>
      </c>
      <c r="J207" s="285" t="s">
        <v>265</v>
      </c>
    </row>
    <row r="208" spans="1:10" ht="16.5" x14ac:dyDescent="0.3">
      <c r="A208" s="276">
        <v>207</v>
      </c>
      <c r="B208" s="276" t="s">
        <v>35</v>
      </c>
      <c r="C208" s="277" t="s">
        <v>227</v>
      </c>
      <c r="D208" s="278">
        <v>1502</v>
      </c>
      <c r="E208" s="278" t="s">
        <v>172</v>
      </c>
      <c r="F208" s="291">
        <v>62.04</v>
      </c>
      <c r="G208" s="282">
        <v>667.79855999999995</v>
      </c>
      <c r="H208" s="283">
        <v>734.57841600000006</v>
      </c>
      <c r="I208" s="288" t="s">
        <v>211</v>
      </c>
      <c r="J208" s="283" t="s">
        <v>265</v>
      </c>
    </row>
    <row r="209" spans="1:10" ht="16.5" x14ac:dyDescent="0.3">
      <c r="A209" s="279">
        <v>208</v>
      </c>
      <c r="B209" s="279" t="s">
        <v>35</v>
      </c>
      <c r="C209" s="280" t="s">
        <v>227</v>
      </c>
      <c r="D209" s="281">
        <v>1504</v>
      </c>
      <c r="E209" s="281" t="s">
        <v>173</v>
      </c>
      <c r="F209" s="292">
        <v>33.159999999999997</v>
      </c>
      <c r="G209" s="284">
        <v>356.93423999999993</v>
      </c>
      <c r="H209" s="285">
        <v>392.62766399999998</v>
      </c>
      <c r="I209" s="289" t="s">
        <v>211</v>
      </c>
      <c r="J209" s="285" t="s">
        <v>266</v>
      </c>
    </row>
    <row r="210" spans="1:10" ht="16.5" x14ac:dyDescent="0.3">
      <c r="A210" s="276">
        <v>209</v>
      </c>
      <c r="B210" s="276" t="s">
        <v>35</v>
      </c>
      <c r="C210" s="277" t="s">
        <v>228</v>
      </c>
      <c r="D210" s="278">
        <v>1601</v>
      </c>
      <c r="E210" s="278" t="s">
        <v>173</v>
      </c>
      <c r="F210" s="291">
        <v>33.159999999999997</v>
      </c>
      <c r="G210" s="282">
        <v>356.93423999999993</v>
      </c>
      <c r="H210" s="283">
        <v>392.62766399999998</v>
      </c>
      <c r="I210" s="288" t="s">
        <v>211</v>
      </c>
      <c r="J210" s="283" t="s">
        <v>266</v>
      </c>
    </row>
    <row r="211" spans="1:10" ht="16.5" x14ac:dyDescent="0.3">
      <c r="A211" s="279">
        <v>210</v>
      </c>
      <c r="B211" s="279" t="s">
        <v>35</v>
      </c>
      <c r="C211" s="280" t="s">
        <v>228</v>
      </c>
      <c r="D211" s="281">
        <v>1604</v>
      </c>
      <c r="E211" s="281" t="s">
        <v>173</v>
      </c>
      <c r="F211" s="292">
        <v>33.159999999999997</v>
      </c>
      <c r="G211" s="284">
        <v>356.93423999999993</v>
      </c>
      <c r="H211" s="285">
        <v>392.62766399999998</v>
      </c>
      <c r="I211" s="289" t="s">
        <v>167</v>
      </c>
      <c r="J211" s="285" t="s">
        <v>266</v>
      </c>
    </row>
    <row r="212" spans="1:10" ht="16.5" x14ac:dyDescent="0.3">
      <c r="A212" s="276">
        <v>211</v>
      </c>
      <c r="B212" s="276" t="s">
        <v>35</v>
      </c>
      <c r="C212" s="277" t="s">
        <v>229</v>
      </c>
      <c r="D212" s="278">
        <v>1701</v>
      </c>
      <c r="E212" s="278" t="s">
        <v>173</v>
      </c>
      <c r="F212" s="291">
        <v>33.159999999999997</v>
      </c>
      <c r="G212" s="282">
        <v>356.93423999999993</v>
      </c>
      <c r="H212" s="283">
        <v>392.62766399999998</v>
      </c>
      <c r="I212" s="288" t="s">
        <v>211</v>
      </c>
      <c r="J212" s="283" t="s">
        <v>266</v>
      </c>
    </row>
    <row r="213" spans="1:10" ht="16.5" x14ac:dyDescent="0.3">
      <c r="A213" s="279">
        <v>212</v>
      </c>
      <c r="B213" s="279" t="s">
        <v>35</v>
      </c>
      <c r="C213" s="280" t="s">
        <v>229</v>
      </c>
      <c r="D213" s="281">
        <v>1704</v>
      </c>
      <c r="E213" s="281" t="s">
        <v>173</v>
      </c>
      <c r="F213" s="292">
        <v>33.159999999999997</v>
      </c>
      <c r="G213" s="284">
        <v>356.93423999999993</v>
      </c>
      <c r="H213" s="285">
        <v>392.62766399999998</v>
      </c>
      <c r="I213" s="289" t="s">
        <v>211</v>
      </c>
      <c r="J213" s="285" t="s">
        <v>265</v>
      </c>
    </row>
    <row r="214" spans="1:10" ht="16.5" x14ac:dyDescent="0.3">
      <c r="A214" s="276">
        <v>213</v>
      </c>
      <c r="B214" s="276" t="s">
        <v>35</v>
      </c>
      <c r="C214" s="277" t="s">
        <v>230</v>
      </c>
      <c r="D214" s="278">
        <v>1801</v>
      </c>
      <c r="E214" s="278" t="s">
        <v>173</v>
      </c>
      <c r="F214" s="291">
        <v>33.159999999999997</v>
      </c>
      <c r="G214" s="282">
        <v>356.93423999999993</v>
      </c>
      <c r="H214" s="283">
        <v>392.62766399999998</v>
      </c>
      <c r="I214" s="288" t="s">
        <v>211</v>
      </c>
      <c r="J214" s="283" t="s">
        <v>266</v>
      </c>
    </row>
    <row r="215" spans="1:10" ht="16.5" x14ac:dyDescent="0.3">
      <c r="A215" s="279">
        <v>214</v>
      </c>
      <c r="B215" s="279" t="s">
        <v>35</v>
      </c>
      <c r="C215" s="280" t="s">
        <v>230</v>
      </c>
      <c r="D215" s="281">
        <v>1803</v>
      </c>
      <c r="E215" s="281" t="s">
        <v>172</v>
      </c>
      <c r="F215" s="292">
        <v>62.04</v>
      </c>
      <c r="G215" s="284">
        <v>667.79855999999995</v>
      </c>
      <c r="H215" s="285">
        <v>734.57841600000006</v>
      </c>
      <c r="I215" s="289" t="s">
        <v>211</v>
      </c>
      <c r="J215" s="285" t="s">
        <v>265</v>
      </c>
    </row>
    <row r="216" spans="1:10" ht="16.5" x14ac:dyDescent="0.3">
      <c r="A216" s="276">
        <v>215</v>
      </c>
      <c r="B216" s="276" t="s">
        <v>35</v>
      </c>
      <c r="C216" s="277" t="s">
        <v>230</v>
      </c>
      <c r="D216" s="278">
        <v>1804</v>
      </c>
      <c r="E216" s="278" t="s">
        <v>173</v>
      </c>
      <c r="F216" s="291">
        <v>33.159999999999997</v>
      </c>
      <c r="G216" s="282">
        <v>356.93423999999993</v>
      </c>
      <c r="H216" s="283">
        <v>392.62766399999998</v>
      </c>
      <c r="I216" s="288" t="s">
        <v>211</v>
      </c>
      <c r="J216" s="283" t="s">
        <v>266</v>
      </c>
    </row>
    <row r="217" spans="1:10" ht="16.5" x14ac:dyDescent="0.3">
      <c r="A217" s="279">
        <v>216</v>
      </c>
      <c r="B217" s="279" t="s">
        <v>35</v>
      </c>
      <c r="C217" s="280" t="s">
        <v>231</v>
      </c>
      <c r="D217" s="281">
        <v>1904</v>
      </c>
      <c r="E217" s="281" t="s">
        <v>173</v>
      </c>
      <c r="F217" s="292">
        <v>33.159999999999997</v>
      </c>
      <c r="G217" s="284">
        <v>356.93423999999993</v>
      </c>
      <c r="H217" s="285">
        <v>392.62766399999998</v>
      </c>
      <c r="I217" s="289" t="s">
        <v>211</v>
      </c>
      <c r="J217" s="285" t="s">
        <v>266</v>
      </c>
    </row>
    <row r="218" spans="1:10" ht="16.5" x14ac:dyDescent="0.3">
      <c r="A218" s="264" t="s">
        <v>32</v>
      </c>
      <c r="B218" s="264"/>
      <c r="C218" s="264"/>
      <c r="D218" s="264"/>
      <c r="E218" s="264"/>
      <c r="F218" s="133">
        <f>SUM(F2:F217)</f>
        <v>9503.8900000000031</v>
      </c>
      <c r="G218" s="133">
        <f t="shared" ref="G218:H218" si="0">SUM(G2:G217)</f>
        <v>102299.87196000011</v>
      </c>
      <c r="H218" s="133">
        <f t="shared" si="0"/>
        <v>112529.85915600009</v>
      </c>
      <c r="I218" s="249"/>
      <c r="J218" s="249"/>
    </row>
  </sheetData>
  <mergeCells count="1">
    <mergeCell ref="A218:E218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M1000"/>
  <sheetViews>
    <sheetView workbookViewId="0"/>
  </sheetViews>
  <sheetFormatPr defaultColWidth="12.625" defaultRowHeight="15" customHeight="1" x14ac:dyDescent="0.2"/>
  <cols>
    <col min="1" max="2" width="7.625" customWidth="1"/>
    <col min="3" max="3" width="10" customWidth="1"/>
    <col min="4" max="4" width="10.875" customWidth="1"/>
    <col min="5" max="5" width="11.5" customWidth="1"/>
    <col min="6" max="13" width="7.625" customWidth="1"/>
  </cols>
  <sheetData>
    <row r="1" spans="1:13" x14ac:dyDescent="0.25">
      <c r="A1" s="22" t="s">
        <v>48</v>
      </c>
      <c r="B1" s="22" t="s">
        <v>49</v>
      </c>
      <c r="C1" s="22" t="s">
        <v>50</v>
      </c>
      <c r="D1" s="22" t="s">
        <v>51</v>
      </c>
      <c r="E1" s="22" t="s">
        <v>52</v>
      </c>
      <c r="F1" s="22" t="s">
        <v>53</v>
      </c>
    </row>
    <row r="2" spans="1:13" x14ac:dyDescent="0.25">
      <c r="A2" s="22">
        <v>1</v>
      </c>
      <c r="B2" s="22">
        <v>1</v>
      </c>
      <c r="C2" s="22">
        <v>52.05</v>
      </c>
      <c r="D2" s="22">
        <f t="shared" ref="D2:D31" si="0">11.23/2</f>
        <v>5.6150000000000002</v>
      </c>
      <c r="E2" s="22">
        <f t="shared" ref="E2:E39" si="1">2.4*0.6*4</f>
        <v>5.76</v>
      </c>
      <c r="I2" s="22">
        <f t="shared" ref="I2:K2" si="2">C2*10.764</f>
        <v>560.26619999999991</v>
      </c>
      <c r="J2" s="22">
        <f t="shared" si="2"/>
        <v>60.439859999999996</v>
      </c>
      <c r="K2" s="22">
        <f t="shared" si="2"/>
        <v>62.000639999999997</v>
      </c>
      <c r="M2" s="22">
        <f t="shared" ref="M2:M6" si="3">I2+J2+K2</f>
        <v>682.70669999999984</v>
      </c>
    </row>
    <row r="3" spans="1:13" x14ac:dyDescent="0.25">
      <c r="B3" s="22">
        <v>2</v>
      </c>
      <c r="C3" s="22">
        <v>52.05</v>
      </c>
      <c r="D3" s="22">
        <f t="shared" si="0"/>
        <v>5.6150000000000002</v>
      </c>
      <c r="E3" s="22">
        <f t="shared" si="1"/>
        <v>5.76</v>
      </c>
      <c r="I3" s="22">
        <f t="shared" ref="I3:K3" si="4">C3*10.764</f>
        <v>560.26619999999991</v>
      </c>
      <c r="J3" s="22">
        <f t="shared" si="4"/>
        <v>60.439859999999996</v>
      </c>
      <c r="K3" s="22">
        <f t="shared" si="4"/>
        <v>62.000639999999997</v>
      </c>
      <c r="M3" s="22">
        <f t="shared" si="3"/>
        <v>682.70669999999984</v>
      </c>
    </row>
    <row r="4" spans="1:13" x14ac:dyDescent="0.25">
      <c r="A4" s="22">
        <v>2</v>
      </c>
      <c r="B4" s="22">
        <v>1</v>
      </c>
      <c r="C4" s="22">
        <v>52.05</v>
      </c>
      <c r="D4" s="22">
        <f t="shared" si="0"/>
        <v>5.6150000000000002</v>
      </c>
      <c r="E4" s="22">
        <f t="shared" si="1"/>
        <v>5.76</v>
      </c>
      <c r="I4" s="22">
        <f t="shared" ref="I4:K4" si="5">C4*10.764</f>
        <v>560.26619999999991</v>
      </c>
      <c r="J4" s="22">
        <f t="shared" si="5"/>
        <v>60.439859999999996</v>
      </c>
      <c r="K4" s="22">
        <f t="shared" si="5"/>
        <v>62.000639999999997</v>
      </c>
      <c r="M4" s="22">
        <f t="shared" si="3"/>
        <v>682.70669999999984</v>
      </c>
    </row>
    <row r="5" spans="1:13" x14ac:dyDescent="0.25">
      <c r="B5" s="22">
        <v>2</v>
      </c>
      <c r="C5" s="22">
        <v>52.05</v>
      </c>
      <c r="D5" s="22">
        <f t="shared" si="0"/>
        <v>5.6150000000000002</v>
      </c>
      <c r="E5" s="22">
        <f t="shared" si="1"/>
        <v>5.76</v>
      </c>
      <c r="I5" s="22">
        <f t="shared" ref="I5:K5" si="6">C5*10.764</f>
        <v>560.26619999999991</v>
      </c>
      <c r="J5" s="22">
        <f t="shared" si="6"/>
        <v>60.439859999999996</v>
      </c>
      <c r="K5" s="22">
        <f t="shared" si="6"/>
        <v>62.000639999999997</v>
      </c>
      <c r="M5" s="22">
        <f t="shared" si="3"/>
        <v>682.70669999999984</v>
      </c>
    </row>
    <row r="6" spans="1:13" x14ac:dyDescent="0.25">
      <c r="B6" s="22">
        <v>3</v>
      </c>
      <c r="C6" s="22">
        <v>52.05</v>
      </c>
      <c r="D6" s="22">
        <f t="shared" si="0"/>
        <v>5.6150000000000002</v>
      </c>
      <c r="E6" s="22">
        <f t="shared" si="1"/>
        <v>5.76</v>
      </c>
      <c r="I6" s="22">
        <f t="shared" ref="I6:K6" si="7">C6*10.764</f>
        <v>560.26619999999991</v>
      </c>
      <c r="J6" s="22">
        <f t="shared" si="7"/>
        <v>60.439859999999996</v>
      </c>
      <c r="K6" s="22">
        <f t="shared" si="7"/>
        <v>62.000639999999997</v>
      </c>
      <c r="M6" s="22">
        <f t="shared" si="3"/>
        <v>682.70669999999984</v>
      </c>
    </row>
    <row r="7" spans="1:13" x14ac:dyDescent="0.25">
      <c r="B7" s="22">
        <v>4</v>
      </c>
      <c r="C7" s="22">
        <v>52.05</v>
      </c>
      <c r="D7" s="22">
        <f t="shared" si="0"/>
        <v>5.6150000000000002</v>
      </c>
      <c r="E7" s="22">
        <f t="shared" si="1"/>
        <v>5.76</v>
      </c>
      <c r="F7" s="22">
        <f>3.35*1.45</f>
        <v>4.8574999999999999</v>
      </c>
      <c r="I7" s="22">
        <f t="shared" ref="I7:L7" si="8">C7*10.764</f>
        <v>560.26619999999991</v>
      </c>
      <c r="J7" s="22">
        <f t="shared" si="8"/>
        <v>60.439859999999996</v>
      </c>
      <c r="K7" s="22">
        <f t="shared" si="8"/>
        <v>62.000639999999997</v>
      </c>
      <c r="L7" s="22">
        <f t="shared" si="8"/>
        <v>52.286129999999993</v>
      </c>
      <c r="M7" s="22">
        <f>I7+J7+K7+L7</f>
        <v>734.9928299999998</v>
      </c>
    </row>
    <row r="8" spans="1:13" x14ac:dyDescent="0.25">
      <c r="A8" s="22">
        <v>3</v>
      </c>
      <c r="B8" s="22">
        <v>1</v>
      </c>
      <c r="C8" s="22">
        <v>52.05</v>
      </c>
      <c r="D8" s="22">
        <f t="shared" si="0"/>
        <v>5.6150000000000002</v>
      </c>
      <c r="E8" s="22">
        <f t="shared" si="1"/>
        <v>5.76</v>
      </c>
      <c r="I8" s="22">
        <f t="shared" ref="I8:K8" si="9">C8*10.764</f>
        <v>560.26619999999991</v>
      </c>
      <c r="J8" s="22">
        <f t="shared" si="9"/>
        <v>60.439859999999996</v>
      </c>
      <c r="K8" s="22">
        <f t="shared" si="9"/>
        <v>62.000639999999997</v>
      </c>
      <c r="M8" s="22">
        <f t="shared" ref="M8:M55" si="10">I8+J8+K8</f>
        <v>682.70669999999984</v>
      </c>
    </row>
    <row r="9" spans="1:13" x14ac:dyDescent="0.25">
      <c r="B9" s="22">
        <v>2</v>
      </c>
      <c r="C9" s="22">
        <v>52.05</v>
      </c>
      <c r="D9" s="22">
        <f t="shared" si="0"/>
        <v>5.6150000000000002</v>
      </c>
      <c r="E9" s="22">
        <f t="shared" si="1"/>
        <v>5.76</v>
      </c>
      <c r="I9" s="22">
        <f t="shared" ref="I9:K9" si="11">C9*10.764</f>
        <v>560.26619999999991</v>
      </c>
      <c r="J9" s="22">
        <f t="shared" si="11"/>
        <v>60.439859999999996</v>
      </c>
      <c r="K9" s="22">
        <f t="shared" si="11"/>
        <v>62.000639999999997</v>
      </c>
      <c r="M9" s="22">
        <f t="shared" si="10"/>
        <v>682.70669999999984</v>
      </c>
    </row>
    <row r="10" spans="1:13" x14ac:dyDescent="0.25">
      <c r="B10" s="22">
        <v>3</v>
      </c>
      <c r="C10" s="22">
        <v>52.05</v>
      </c>
      <c r="D10" s="22">
        <f t="shared" si="0"/>
        <v>5.6150000000000002</v>
      </c>
      <c r="E10" s="22">
        <f t="shared" si="1"/>
        <v>5.76</v>
      </c>
      <c r="I10" s="22">
        <f t="shared" ref="I10:K10" si="12">C10*10.764</f>
        <v>560.26619999999991</v>
      </c>
      <c r="J10" s="22">
        <f t="shared" si="12"/>
        <v>60.439859999999996</v>
      </c>
      <c r="K10" s="22">
        <f t="shared" si="12"/>
        <v>62.000639999999997</v>
      </c>
      <c r="M10" s="22">
        <f t="shared" si="10"/>
        <v>682.70669999999984</v>
      </c>
    </row>
    <row r="11" spans="1:13" x14ac:dyDescent="0.25">
      <c r="B11" s="22">
        <v>4</v>
      </c>
      <c r="C11" s="22">
        <v>52.05</v>
      </c>
      <c r="D11" s="22">
        <f t="shared" si="0"/>
        <v>5.6150000000000002</v>
      </c>
      <c r="E11" s="22">
        <f t="shared" si="1"/>
        <v>5.76</v>
      </c>
      <c r="I11" s="22">
        <f t="shared" ref="I11:K11" si="13">C11*10.764</f>
        <v>560.26619999999991</v>
      </c>
      <c r="J11" s="22">
        <f t="shared" si="13"/>
        <v>60.439859999999996</v>
      </c>
      <c r="K11" s="22">
        <f t="shared" si="13"/>
        <v>62.000639999999997</v>
      </c>
      <c r="M11" s="22">
        <f t="shared" si="10"/>
        <v>682.70669999999984</v>
      </c>
    </row>
    <row r="12" spans="1:13" x14ac:dyDescent="0.25">
      <c r="A12" s="22">
        <v>4</v>
      </c>
      <c r="B12" s="22">
        <v>1</v>
      </c>
      <c r="C12" s="22">
        <v>52.05</v>
      </c>
      <c r="D12" s="22">
        <f t="shared" si="0"/>
        <v>5.6150000000000002</v>
      </c>
      <c r="E12" s="22">
        <f t="shared" si="1"/>
        <v>5.76</v>
      </c>
      <c r="I12" s="22">
        <f t="shared" ref="I12:K12" si="14">C12*10.764</f>
        <v>560.26619999999991</v>
      </c>
      <c r="J12" s="22">
        <f t="shared" si="14"/>
        <v>60.439859999999996</v>
      </c>
      <c r="K12" s="22">
        <f t="shared" si="14"/>
        <v>62.000639999999997</v>
      </c>
      <c r="M12" s="22">
        <f t="shared" si="10"/>
        <v>682.70669999999984</v>
      </c>
    </row>
    <row r="13" spans="1:13" x14ac:dyDescent="0.25">
      <c r="B13" s="22">
        <v>2</v>
      </c>
      <c r="C13" s="22">
        <v>52.05</v>
      </c>
      <c r="D13" s="22">
        <f t="shared" si="0"/>
        <v>5.6150000000000002</v>
      </c>
      <c r="E13" s="22">
        <f t="shared" si="1"/>
        <v>5.76</v>
      </c>
      <c r="I13" s="22">
        <f t="shared" ref="I13:K13" si="15">C13*10.764</f>
        <v>560.26619999999991</v>
      </c>
      <c r="J13" s="22">
        <f t="shared" si="15"/>
        <v>60.439859999999996</v>
      </c>
      <c r="K13" s="22">
        <f t="shared" si="15"/>
        <v>62.000639999999997</v>
      </c>
      <c r="M13" s="22">
        <f t="shared" si="10"/>
        <v>682.70669999999984</v>
      </c>
    </row>
    <row r="14" spans="1:13" x14ac:dyDescent="0.25">
      <c r="B14" s="22">
        <v>3</v>
      </c>
      <c r="C14" s="22">
        <v>52.05</v>
      </c>
      <c r="D14" s="22">
        <f t="shared" si="0"/>
        <v>5.6150000000000002</v>
      </c>
      <c r="E14" s="22">
        <f t="shared" si="1"/>
        <v>5.76</v>
      </c>
      <c r="I14" s="22">
        <f t="shared" ref="I14:K14" si="16">C14*10.764</f>
        <v>560.26619999999991</v>
      </c>
      <c r="J14" s="22">
        <f t="shared" si="16"/>
        <v>60.439859999999996</v>
      </c>
      <c r="K14" s="22">
        <f t="shared" si="16"/>
        <v>62.000639999999997</v>
      </c>
      <c r="M14" s="22">
        <f t="shared" si="10"/>
        <v>682.70669999999984</v>
      </c>
    </row>
    <row r="15" spans="1:13" x14ac:dyDescent="0.25">
      <c r="B15" s="22">
        <v>4</v>
      </c>
      <c r="C15" s="22">
        <v>52.05</v>
      </c>
      <c r="D15" s="22">
        <f t="shared" si="0"/>
        <v>5.6150000000000002</v>
      </c>
      <c r="E15" s="22">
        <f t="shared" si="1"/>
        <v>5.76</v>
      </c>
      <c r="I15" s="22">
        <f t="shared" ref="I15:K15" si="17">C15*10.764</f>
        <v>560.26619999999991</v>
      </c>
      <c r="J15" s="22">
        <f t="shared" si="17"/>
        <v>60.439859999999996</v>
      </c>
      <c r="K15" s="22">
        <f t="shared" si="17"/>
        <v>62.000639999999997</v>
      </c>
      <c r="M15" s="22">
        <f t="shared" si="10"/>
        <v>682.70669999999984</v>
      </c>
    </row>
    <row r="16" spans="1:13" x14ac:dyDescent="0.25">
      <c r="A16" s="22">
        <v>5</v>
      </c>
      <c r="B16" s="22">
        <v>1</v>
      </c>
      <c r="C16" s="22">
        <v>52.05</v>
      </c>
      <c r="D16" s="22">
        <f t="shared" si="0"/>
        <v>5.6150000000000002</v>
      </c>
      <c r="E16" s="22">
        <f t="shared" si="1"/>
        <v>5.76</v>
      </c>
      <c r="I16" s="22">
        <f t="shared" ref="I16:K16" si="18">C16*10.764</f>
        <v>560.26619999999991</v>
      </c>
      <c r="J16" s="22">
        <f t="shared" si="18"/>
        <v>60.439859999999996</v>
      </c>
      <c r="K16" s="22">
        <f t="shared" si="18"/>
        <v>62.000639999999997</v>
      </c>
      <c r="M16" s="22">
        <f t="shared" si="10"/>
        <v>682.70669999999984</v>
      </c>
    </row>
    <row r="17" spans="1:13" x14ac:dyDescent="0.25">
      <c r="B17" s="22">
        <v>2</v>
      </c>
      <c r="C17" s="22">
        <v>52.05</v>
      </c>
      <c r="D17" s="22">
        <f t="shared" si="0"/>
        <v>5.6150000000000002</v>
      </c>
      <c r="E17" s="22">
        <f t="shared" si="1"/>
        <v>5.76</v>
      </c>
      <c r="I17" s="22">
        <f t="shared" ref="I17:K17" si="19">C17*10.764</f>
        <v>560.26619999999991</v>
      </c>
      <c r="J17" s="22">
        <f t="shared" si="19"/>
        <v>60.439859999999996</v>
      </c>
      <c r="K17" s="22">
        <f t="shared" si="19"/>
        <v>62.000639999999997</v>
      </c>
      <c r="M17" s="22">
        <f t="shared" si="10"/>
        <v>682.70669999999984</v>
      </c>
    </row>
    <row r="18" spans="1:13" x14ac:dyDescent="0.25">
      <c r="B18" s="22">
        <v>3</v>
      </c>
      <c r="C18" s="22">
        <v>52.05</v>
      </c>
      <c r="D18" s="22">
        <f t="shared" si="0"/>
        <v>5.6150000000000002</v>
      </c>
      <c r="E18" s="22">
        <f t="shared" si="1"/>
        <v>5.76</v>
      </c>
      <c r="I18" s="22">
        <f t="shared" ref="I18:K18" si="20">C18*10.764</f>
        <v>560.26619999999991</v>
      </c>
      <c r="J18" s="22">
        <f t="shared" si="20"/>
        <v>60.439859999999996</v>
      </c>
      <c r="K18" s="22">
        <f t="shared" si="20"/>
        <v>62.000639999999997</v>
      </c>
      <c r="M18" s="22">
        <f t="shared" si="10"/>
        <v>682.70669999999984</v>
      </c>
    </row>
    <row r="19" spans="1:13" x14ac:dyDescent="0.25">
      <c r="B19" s="22">
        <v>4</v>
      </c>
      <c r="C19" s="22">
        <v>52.05</v>
      </c>
      <c r="D19" s="22">
        <f t="shared" si="0"/>
        <v>5.6150000000000002</v>
      </c>
      <c r="E19" s="22">
        <f t="shared" si="1"/>
        <v>5.76</v>
      </c>
      <c r="I19" s="22">
        <f t="shared" ref="I19:K19" si="21">C19*10.764</f>
        <v>560.26619999999991</v>
      </c>
      <c r="J19" s="22">
        <f t="shared" si="21"/>
        <v>60.439859999999996</v>
      </c>
      <c r="K19" s="22">
        <f t="shared" si="21"/>
        <v>62.000639999999997</v>
      </c>
      <c r="M19" s="22">
        <f t="shared" si="10"/>
        <v>682.70669999999984</v>
      </c>
    </row>
    <row r="20" spans="1:13" x14ac:dyDescent="0.25">
      <c r="A20" s="22">
        <v>6</v>
      </c>
      <c r="B20" s="22">
        <v>1</v>
      </c>
      <c r="C20" s="22">
        <v>52.05</v>
      </c>
      <c r="D20" s="22">
        <f t="shared" si="0"/>
        <v>5.6150000000000002</v>
      </c>
      <c r="E20" s="22">
        <f t="shared" si="1"/>
        <v>5.76</v>
      </c>
      <c r="I20" s="22">
        <f t="shared" ref="I20:K20" si="22">C20*10.764</f>
        <v>560.26619999999991</v>
      </c>
      <c r="J20" s="22">
        <f t="shared" si="22"/>
        <v>60.439859999999996</v>
      </c>
      <c r="K20" s="22">
        <f t="shared" si="22"/>
        <v>62.000639999999997</v>
      </c>
      <c r="M20" s="22">
        <f t="shared" si="10"/>
        <v>682.70669999999984</v>
      </c>
    </row>
    <row r="21" spans="1:13" ht="15.75" customHeight="1" x14ac:dyDescent="0.25">
      <c r="B21" s="22">
        <v>2</v>
      </c>
      <c r="C21" s="22">
        <v>52.05</v>
      </c>
      <c r="D21" s="22">
        <f t="shared" si="0"/>
        <v>5.6150000000000002</v>
      </c>
      <c r="E21" s="22">
        <f t="shared" si="1"/>
        <v>5.76</v>
      </c>
      <c r="I21" s="22">
        <f t="shared" ref="I21:K21" si="23">C21*10.764</f>
        <v>560.26619999999991</v>
      </c>
      <c r="J21" s="22">
        <f t="shared" si="23"/>
        <v>60.439859999999996</v>
      </c>
      <c r="K21" s="22">
        <f t="shared" si="23"/>
        <v>62.000639999999997</v>
      </c>
      <c r="M21" s="22">
        <f t="shared" si="10"/>
        <v>682.70669999999984</v>
      </c>
    </row>
    <row r="22" spans="1:13" ht="15.75" customHeight="1" x14ac:dyDescent="0.25">
      <c r="B22" s="22">
        <v>3</v>
      </c>
      <c r="C22" s="22">
        <v>52.05</v>
      </c>
      <c r="D22" s="22">
        <f t="shared" si="0"/>
        <v>5.6150000000000002</v>
      </c>
      <c r="E22" s="22">
        <f t="shared" si="1"/>
        <v>5.76</v>
      </c>
      <c r="I22" s="22">
        <f t="shared" ref="I22:K22" si="24">C22*10.764</f>
        <v>560.26619999999991</v>
      </c>
      <c r="J22" s="22">
        <f t="shared" si="24"/>
        <v>60.439859999999996</v>
      </c>
      <c r="K22" s="22">
        <f t="shared" si="24"/>
        <v>62.000639999999997</v>
      </c>
      <c r="M22" s="22">
        <f t="shared" si="10"/>
        <v>682.70669999999984</v>
      </c>
    </row>
    <row r="23" spans="1:13" ht="15.75" customHeight="1" x14ac:dyDescent="0.25">
      <c r="B23" s="22">
        <v>4</v>
      </c>
      <c r="C23" s="22">
        <v>52.05</v>
      </c>
      <c r="D23" s="22">
        <f t="shared" si="0"/>
        <v>5.6150000000000002</v>
      </c>
      <c r="E23" s="22">
        <f t="shared" si="1"/>
        <v>5.76</v>
      </c>
      <c r="I23" s="22">
        <f t="shared" ref="I23:K23" si="25">C23*10.764</f>
        <v>560.26619999999991</v>
      </c>
      <c r="J23" s="22">
        <f t="shared" si="25"/>
        <v>60.439859999999996</v>
      </c>
      <c r="K23" s="22">
        <f t="shared" si="25"/>
        <v>62.000639999999997</v>
      </c>
      <c r="M23" s="22">
        <f t="shared" si="10"/>
        <v>682.70669999999984</v>
      </c>
    </row>
    <row r="24" spans="1:13" ht="15.75" customHeight="1" x14ac:dyDescent="0.25">
      <c r="A24" s="22">
        <v>7</v>
      </c>
      <c r="B24" s="22">
        <v>1</v>
      </c>
      <c r="C24" s="22">
        <v>52.05</v>
      </c>
      <c r="D24" s="22">
        <f t="shared" si="0"/>
        <v>5.6150000000000002</v>
      </c>
      <c r="E24" s="22">
        <f t="shared" si="1"/>
        <v>5.76</v>
      </c>
      <c r="I24" s="22">
        <f t="shared" ref="I24:K24" si="26">C24*10.764</f>
        <v>560.26619999999991</v>
      </c>
      <c r="J24" s="22">
        <f t="shared" si="26"/>
        <v>60.439859999999996</v>
      </c>
      <c r="K24" s="22">
        <f t="shared" si="26"/>
        <v>62.000639999999997</v>
      </c>
      <c r="M24" s="22">
        <f t="shared" si="10"/>
        <v>682.70669999999984</v>
      </c>
    </row>
    <row r="25" spans="1:13" ht="15.75" customHeight="1" x14ac:dyDescent="0.25">
      <c r="B25" s="22">
        <v>2</v>
      </c>
      <c r="C25" s="22">
        <v>52.05</v>
      </c>
      <c r="D25" s="22">
        <f t="shared" si="0"/>
        <v>5.6150000000000002</v>
      </c>
      <c r="E25" s="22">
        <f t="shared" si="1"/>
        <v>5.76</v>
      </c>
      <c r="I25" s="22">
        <f t="shared" ref="I25:K25" si="27">C25*10.764</f>
        <v>560.26619999999991</v>
      </c>
      <c r="J25" s="22">
        <f t="shared" si="27"/>
        <v>60.439859999999996</v>
      </c>
      <c r="K25" s="22">
        <f t="shared" si="27"/>
        <v>62.000639999999997</v>
      </c>
      <c r="M25" s="22">
        <f t="shared" si="10"/>
        <v>682.70669999999984</v>
      </c>
    </row>
    <row r="26" spans="1:13" ht="15.75" customHeight="1" x14ac:dyDescent="0.25">
      <c r="B26" s="22">
        <v>3</v>
      </c>
      <c r="C26" s="22">
        <v>52.05</v>
      </c>
      <c r="D26" s="22">
        <f t="shared" si="0"/>
        <v>5.6150000000000002</v>
      </c>
      <c r="E26" s="22">
        <f t="shared" si="1"/>
        <v>5.76</v>
      </c>
      <c r="I26" s="22">
        <f t="shared" ref="I26:K26" si="28">C26*10.764</f>
        <v>560.26619999999991</v>
      </c>
      <c r="J26" s="22">
        <f t="shared" si="28"/>
        <v>60.439859999999996</v>
      </c>
      <c r="K26" s="22">
        <f t="shared" si="28"/>
        <v>62.000639999999997</v>
      </c>
      <c r="M26" s="22">
        <f t="shared" si="10"/>
        <v>682.70669999999984</v>
      </c>
    </row>
    <row r="27" spans="1:13" ht="15.75" customHeight="1" x14ac:dyDescent="0.25">
      <c r="B27" s="22">
        <v>4</v>
      </c>
      <c r="C27" s="22">
        <v>52.05</v>
      </c>
      <c r="D27" s="22">
        <f t="shared" si="0"/>
        <v>5.6150000000000002</v>
      </c>
      <c r="E27" s="22">
        <f t="shared" si="1"/>
        <v>5.76</v>
      </c>
      <c r="I27" s="22">
        <f t="shared" ref="I27:K27" si="29">C27*10.764</f>
        <v>560.26619999999991</v>
      </c>
      <c r="J27" s="22">
        <f t="shared" si="29"/>
        <v>60.439859999999996</v>
      </c>
      <c r="K27" s="22">
        <f t="shared" si="29"/>
        <v>62.000639999999997</v>
      </c>
      <c r="M27" s="22">
        <f t="shared" si="10"/>
        <v>682.70669999999984</v>
      </c>
    </row>
    <row r="28" spans="1:13" ht="15.75" customHeight="1" x14ac:dyDescent="0.25">
      <c r="A28" s="22">
        <v>8</v>
      </c>
      <c r="B28" s="22">
        <v>1</v>
      </c>
      <c r="C28" s="22">
        <v>52.05</v>
      </c>
      <c r="D28" s="22">
        <f t="shared" si="0"/>
        <v>5.6150000000000002</v>
      </c>
      <c r="E28" s="22">
        <f t="shared" si="1"/>
        <v>5.76</v>
      </c>
      <c r="I28" s="22">
        <f t="shared" ref="I28:K28" si="30">C28*10.764</f>
        <v>560.26619999999991</v>
      </c>
      <c r="J28" s="22">
        <f t="shared" si="30"/>
        <v>60.439859999999996</v>
      </c>
      <c r="K28" s="22">
        <f t="shared" si="30"/>
        <v>62.000639999999997</v>
      </c>
      <c r="M28" s="22">
        <f t="shared" si="10"/>
        <v>682.70669999999984</v>
      </c>
    </row>
    <row r="29" spans="1:13" ht="15.75" customHeight="1" x14ac:dyDescent="0.25">
      <c r="B29" s="22">
        <v>2</v>
      </c>
      <c r="C29" s="22">
        <v>52.05</v>
      </c>
      <c r="D29" s="22">
        <f t="shared" si="0"/>
        <v>5.6150000000000002</v>
      </c>
      <c r="E29" s="22">
        <f t="shared" si="1"/>
        <v>5.76</v>
      </c>
      <c r="I29" s="22">
        <f t="shared" ref="I29:K29" si="31">C29*10.764</f>
        <v>560.26619999999991</v>
      </c>
      <c r="J29" s="22">
        <f t="shared" si="31"/>
        <v>60.439859999999996</v>
      </c>
      <c r="K29" s="22">
        <f t="shared" si="31"/>
        <v>62.000639999999997</v>
      </c>
      <c r="M29" s="22">
        <f t="shared" si="10"/>
        <v>682.70669999999984</v>
      </c>
    </row>
    <row r="30" spans="1:13" ht="15.75" customHeight="1" x14ac:dyDescent="0.25">
      <c r="B30" s="22">
        <v>3</v>
      </c>
      <c r="C30" s="22">
        <v>52.05</v>
      </c>
      <c r="D30" s="22">
        <f t="shared" si="0"/>
        <v>5.6150000000000002</v>
      </c>
      <c r="E30" s="22">
        <f t="shared" si="1"/>
        <v>5.76</v>
      </c>
      <c r="I30" s="22">
        <f t="shared" ref="I30:K30" si="32">C30*10.764</f>
        <v>560.26619999999991</v>
      </c>
      <c r="J30" s="22">
        <f t="shared" si="32"/>
        <v>60.439859999999996</v>
      </c>
      <c r="K30" s="22">
        <f t="shared" si="32"/>
        <v>62.000639999999997</v>
      </c>
      <c r="M30" s="22">
        <f t="shared" si="10"/>
        <v>682.70669999999984</v>
      </c>
    </row>
    <row r="31" spans="1:13" ht="15.75" customHeight="1" x14ac:dyDescent="0.25">
      <c r="B31" s="22">
        <v>4</v>
      </c>
      <c r="C31" s="22">
        <v>52.05</v>
      </c>
      <c r="D31" s="22">
        <f t="shared" si="0"/>
        <v>5.6150000000000002</v>
      </c>
      <c r="E31" s="22">
        <f t="shared" si="1"/>
        <v>5.76</v>
      </c>
      <c r="I31" s="22">
        <f t="shared" ref="I31:K31" si="33">C31*10.764</f>
        <v>560.26619999999991</v>
      </c>
      <c r="J31" s="22">
        <f t="shared" si="33"/>
        <v>60.439859999999996</v>
      </c>
      <c r="K31" s="22">
        <f t="shared" si="33"/>
        <v>62.000639999999997</v>
      </c>
      <c r="M31" s="22">
        <f t="shared" si="10"/>
        <v>682.70669999999984</v>
      </c>
    </row>
    <row r="32" spans="1:13" ht="15.75" customHeight="1" x14ac:dyDescent="0.25">
      <c r="A32" s="22">
        <v>9</v>
      </c>
      <c r="B32" s="22">
        <v>1</v>
      </c>
      <c r="C32" s="22">
        <f t="shared" ref="C32:C39" si="34">55.81</f>
        <v>55.81</v>
      </c>
      <c r="D32" s="22">
        <f t="shared" ref="D32:D39" si="35">(3.35*0.95)+(3.1*1.1)</f>
        <v>6.5925000000000011</v>
      </c>
      <c r="E32" s="22">
        <f t="shared" si="1"/>
        <v>5.76</v>
      </c>
      <c r="I32" s="22">
        <f t="shared" ref="I32:K32" si="36">C32*10.764</f>
        <v>600.73883999999998</v>
      </c>
      <c r="J32" s="22">
        <f t="shared" si="36"/>
        <v>70.961670000000012</v>
      </c>
      <c r="K32" s="22">
        <f t="shared" si="36"/>
        <v>62.000639999999997</v>
      </c>
      <c r="M32" s="22">
        <f t="shared" si="10"/>
        <v>733.70114999999998</v>
      </c>
    </row>
    <row r="33" spans="1:13" ht="15.75" customHeight="1" x14ac:dyDescent="0.25">
      <c r="B33" s="22">
        <v>2</v>
      </c>
      <c r="C33" s="22">
        <f t="shared" si="34"/>
        <v>55.81</v>
      </c>
      <c r="D33" s="22">
        <f t="shared" si="35"/>
        <v>6.5925000000000011</v>
      </c>
      <c r="E33" s="22">
        <f t="shared" si="1"/>
        <v>5.76</v>
      </c>
      <c r="I33" s="22">
        <f t="shared" ref="I33:K33" si="37">C33*10.764</f>
        <v>600.73883999999998</v>
      </c>
      <c r="J33" s="22">
        <f t="shared" si="37"/>
        <v>70.961670000000012</v>
      </c>
      <c r="K33" s="22">
        <f t="shared" si="37"/>
        <v>62.000639999999997</v>
      </c>
      <c r="M33" s="22">
        <f t="shared" si="10"/>
        <v>733.70114999999998</v>
      </c>
    </row>
    <row r="34" spans="1:13" ht="15.75" customHeight="1" x14ac:dyDescent="0.25">
      <c r="B34" s="22">
        <v>3</v>
      </c>
      <c r="C34" s="22">
        <f t="shared" si="34"/>
        <v>55.81</v>
      </c>
      <c r="D34" s="22">
        <f t="shared" si="35"/>
        <v>6.5925000000000011</v>
      </c>
      <c r="E34" s="22">
        <f t="shared" si="1"/>
        <v>5.76</v>
      </c>
      <c r="I34" s="22">
        <f t="shared" ref="I34:K34" si="38">C34*10.764</f>
        <v>600.73883999999998</v>
      </c>
      <c r="J34" s="22">
        <f t="shared" si="38"/>
        <v>70.961670000000012</v>
      </c>
      <c r="K34" s="22">
        <f t="shared" si="38"/>
        <v>62.000639999999997</v>
      </c>
      <c r="M34" s="22">
        <f t="shared" si="10"/>
        <v>733.70114999999998</v>
      </c>
    </row>
    <row r="35" spans="1:13" ht="15.75" customHeight="1" x14ac:dyDescent="0.25">
      <c r="B35" s="22">
        <v>4</v>
      </c>
      <c r="C35" s="22">
        <f t="shared" si="34"/>
        <v>55.81</v>
      </c>
      <c r="D35" s="22">
        <f t="shared" si="35"/>
        <v>6.5925000000000011</v>
      </c>
      <c r="E35" s="22">
        <f t="shared" si="1"/>
        <v>5.76</v>
      </c>
      <c r="I35" s="22">
        <f t="shared" ref="I35:K35" si="39">C35*10.764</f>
        <v>600.73883999999998</v>
      </c>
      <c r="J35" s="22">
        <f t="shared" si="39"/>
        <v>70.961670000000012</v>
      </c>
      <c r="K35" s="22">
        <f t="shared" si="39"/>
        <v>62.000639999999997</v>
      </c>
      <c r="M35" s="22">
        <f t="shared" si="10"/>
        <v>733.70114999999998</v>
      </c>
    </row>
    <row r="36" spans="1:13" ht="15.75" customHeight="1" x14ac:dyDescent="0.25">
      <c r="A36" s="22">
        <v>10</v>
      </c>
      <c r="B36" s="22">
        <v>1</v>
      </c>
      <c r="C36" s="22">
        <f t="shared" si="34"/>
        <v>55.81</v>
      </c>
      <c r="D36" s="22">
        <f t="shared" si="35"/>
        <v>6.5925000000000011</v>
      </c>
      <c r="E36" s="22">
        <f t="shared" si="1"/>
        <v>5.76</v>
      </c>
      <c r="I36" s="22">
        <f t="shared" ref="I36:K36" si="40">C36*10.764</f>
        <v>600.73883999999998</v>
      </c>
      <c r="J36" s="22">
        <f t="shared" si="40"/>
        <v>70.961670000000012</v>
      </c>
      <c r="K36" s="22">
        <f t="shared" si="40"/>
        <v>62.000639999999997</v>
      </c>
      <c r="M36" s="22">
        <f t="shared" si="10"/>
        <v>733.70114999999998</v>
      </c>
    </row>
    <row r="37" spans="1:13" ht="15.75" customHeight="1" x14ac:dyDescent="0.25">
      <c r="B37" s="22">
        <v>2</v>
      </c>
      <c r="C37" s="22">
        <f t="shared" si="34"/>
        <v>55.81</v>
      </c>
      <c r="D37" s="22">
        <f t="shared" si="35"/>
        <v>6.5925000000000011</v>
      </c>
      <c r="E37" s="22">
        <f t="shared" si="1"/>
        <v>5.76</v>
      </c>
      <c r="I37" s="22">
        <f t="shared" ref="I37:K37" si="41">C37*10.764</f>
        <v>600.73883999999998</v>
      </c>
      <c r="J37" s="22">
        <f t="shared" si="41"/>
        <v>70.961670000000012</v>
      </c>
      <c r="K37" s="22">
        <f t="shared" si="41"/>
        <v>62.000639999999997</v>
      </c>
      <c r="M37" s="22">
        <f t="shared" si="10"/>
        <v>733.70114999999998</v>
      </c>
    </row>
    <row r="38" spans="1:13" ht="15.75" customHeight="1" x14ac:dyDescent="0.25">
      <c r="B38" s="22">
        <v>3</v>
      </c>
      <c r="C38" s="22">
        <f t="shared" si="34"/>
        <v>55.81</v>
      </c>
      <c r="D38" s="22">
        <f t="shared" si="35"/>
        <v>6.5925000000000011</v>
      </c>
      <c r="E38" s="22">
        <f t="shared" si="1"/>
        <v>5.76</v>
      </c>
      <c r="I38" s="22">
        <f t="shared" ref="I38:K38" si="42">C38*10.764</f>
        <v>600.73883999999998</v>
      </c>
      <c r="J38" s="22">
        <f t="shared" si="42"/>
        <v>70.961670000000012</v>
      </c>
      <c r="K38" s="22">
        <f t="shared" si="42"/>
        <v>62.000639999999997</v>
      </c>
      <c r="M38" s="22">
        <f t="shared" si="10"/>
        <v>733.70114999999998</v>
      </c>
    </row>
    <row r="39" spans="1:13" ht="15.75" customHeight="1" x14ac:dyDescent="0.25">
      <c r="B39" s="22">
        <v>4</v>
      </c>
      <c r="C39" s="22">
        <f t="shared" si="34"/>
        <v>55.81</v>
      </c>
      <c r="D39" s="22">
        <f t="shared" si="35"/>
        <v>6.5925000000000011</v>
      </c>
      <c r="E39" s="22">
        <f t="shared" si="1"/>
        <v>5.76</v>
      </c>
      <c r="I39" s="22">
        <f t="shared" ref="I39:K39" si="43">C39*10.764</f>
        <v>600.73883999999998</v>
      </c>
      <c r="J39" s="22">
        <f t="shared" si="43"/>
        <v>70.961670000000012</v>
      </c>
      <c r="K39" s="22">
        <f t="shared" si="43"/>
        <v>62.000639999999997</v>
      </c>
      <c r="M39" s="22">
        <f t="shared" si="10"/>
        <v>733.70114999999998</v>
      </c>
    </row>
    <row r="40" spans="1:13" ht="15.75" customHeight="1" x14ac:dyDescent="0.25">
      <c r="A40" s="22">
        <v>11</v>
      </c>
      <c r="B40" s="22">
        <v>1</v>
      </c>
      <c r="C40" s="22">
        <f t="shared" ref="C40:C43" si="44">61.95</f>
        <v>61.95</v>
      </c>
      <c r="D40" s="22">
        <f t="shared" ref="D40:D44" si="45">(3.2*0.95)+(3.1*1.1)</f>
        <v>6.4500000000000011</v>
      </c>
      <c r="E40" s="22">
        <f t="shared" ref="E40:E55" si="46">2.4*0.6*3</f>
        <v>4.32</v>
      </c>
      <c r="I40" s="22">
        <f t="shared" ref="I40:K40" si="47">C40*10.764</f>
        <v>666.82979999999998</v>
      </c>
      <c r="J40" s="22">
        <f t="shared" si="47"/>
        <v>69.427800000000005</v>
      </c>
      <c r="K40" s="22">
        <f t="shared" si="47"/>
        <v>46.500480000000003</v>
      </c>
      <c r="M40" s="22">
        <f t="shared" si="10"/>
        <v>782.75808000000006</v>
      </c>
    </row>
    <row r="41" spans="1:13" ht="15.75" customHeight="1" x14ac:dyDescent="0.25">
      <c r="B41" s="22">
        <v>2</v>
      </c>
      <c r="C41" s="22">
        <f t="shared" si="44"/>
        <v>61.95</v>
      </c>
      <c r="D41" s="22">
        <f t="shared" si="45"/>
        <v>6.4500000000000011</v>
      </c>
      <c r="E41" s="22">
        <f t="shared" si="46"/>
        <v>4.32</v>
      </c>
      <c r="I41" s="22">
        <f t="shared" ref="I41:K41" si="48">C41*10.764</f>
        <v>666.82979999999998</v>
      </c>
      <c r="J41" s="22">
        <f t="shared" si="48"/>
        <v>69.427800000000005</v>
      </c>
      <c r="K41" s="22">
        <f t="shared" si="48"/>
        <v>46.500480000000003</v>
      </c>
      <c r="M41" s="22">
        <f t="shared" si="10"/>
        <v>782.75808000000006</v>
      </c>
    </row>
    <row r="42" spans="1:13" ht="15.75" customHeight="1" x14ac:dyDescent="0.25">
      <c r="B42" s="22">
        <v>3</v>
      </c>
      <c r="C42" s="22">
        <f t="shared" si="44"/>
        <v>61.95</v>
      </c>
      <c r="D42" s="22">
        <f t="shared" si="45"/>
        <v>6.4500000000000011</v>
      </c>
      <c r="E42" s="22">
        <f t="shared" si="46"/>
        <v>4.32</v>
      </c>
      <c r="I42" s="22">
        <f t="shared" ref="I42:K42" si="49">C42*10.764</f>
        <v>666.82979999999998</v>
      </c>
      <c r="J42" s="22">
        <f t="shared" si="49"/>
        <v>69.427800000000005</v>
      </c>
      <c r="K42" s="22">
        <f t="shared" si="49"/>
        <v>46.500480000000003</v>
      </c>
      <c r="M42" s="22">
        <f t="shared" si="10"/>
        <v>782.75808000000006</v>
      </c>
    </row>
    <row r="43" spans="1:13" ht="15.75" customHeight="1" x14ac:dyDescent="0.25">
      <c r="B43" s="22">
        <v>4</v>
      </c>
      <c r="C43" s="22">
        <f t="shared" si="44"/>
        <v>61.95</v>
      </c>
      <c r="D43" s="22">
        <f t="shared" si="45"/>
        <v>6.4500000000000011</v>
      </c>
      <c r="E43" s="22">
        <f t="shared" si="46"/>
        <v>4.32</v>
      </c>
      <c r="I43" s="22">
        <f t="shared" ref="I43:K43" si="50">C43*10.764</f>
        <v>666.82979999999998</v>
      </c>
      <c r="J43" s="22">
        <f t="shared" si="50"/>
        <v>69.427800000000005</v>
      </c>
      <c r="K43" s="22">
        <f t="shared" si="50"/>
        <v>46.500480000000003</v>
      </c>
      <c r="M43" s="22">
        <f t="shared" si="10"/>
        <v>782.75808000000006</v>
      </c>
    </row>
    <row r="44" spans="1:13" ht="15.75" customHeight="1" x14ac:dyDescent="0.25">
      <c r="A44" s="22">
        <v>12</v>
      </c>
      <c r="B44" s="22">
        <v>1</v>
      </c>
      <c r="C44" s="22">
        <f>61.05</f>
        <v>61.05</v>
      </c>
      <c r="D44" s="22">
        <f t="shared" si="45"/>
        <v>6.4500000000000011</v>
      </c>
      <c r="E44" s="22">
        <f t="shared" si="46"/>
        <v>4.32</v>
      </c>
      <c r="I44" s="22">
        <f t="shared" ref="I44:K44" si="51">C44*10.764</f>
        <v>657.14219999999989</v>
      </c>
      <c r="J44" s="22">
        <f t="shared" si="51"/>
        <v>69.427800000000005</v>
      </c>
      <c r="K44" s="22">
        <f t="shared" si="51"/>
        <v>46.500480000000003</v>
      </c>
      <c r="M44" s="22">
        <f t="shared" si="10"/>
        <v>773.07047999999998</v>
      </c>
    </row>
    <row r="45" spans="1:13" ht="15.75" customHeight="1" x14ac:dyDescent="0.25">
      <c r="B45" s="22">
        <v>2</v>
      </c>
      <c r="C45" s="22">
        <f t="shared" ref="C45:C46" si="52">63.29</f>
        <v>63.29</v>
      </c>
      <c r="D45" s="22">
        <f t="shared" ref="D45:D46" si="53">(3.2*1.1)+(3.1*1.1)</f>
        <v>6.9300000000000015</v>
      </c>
      <c r="E45" s="22">
        <f t="shared" si="46"/>
        <v>4.32</v>
      </c>
      <c r="I45" s="22">
        <f t="shared" ref="I45:K45" si="54">C45*10.764</f>
        <v>681.25355999999999</v>
      </c>
      <c r="J45" s="22">
        <f t="shared" si="54"/>
        <v>74.594520000000017</v>
      </c>
      <c r="K45" s="22">
        <f t="shared" si="54"/>
        <v>46.500480000000003</v>
      </c>
      <c r="M45" s="22">
        <f t="shared" si="10"/>
        <v>802.34856000000002</v>
      </c>
    </row>
    <row r="46" spans="1:13" ht="15.75" customHeight="1" x14ac:dyDescent="0.25">
      <c r="B46" s="22">
        <v>3</v>
      </c>
      <c r="C46" s="22">
        <f t="shared" si="52"/>
        <v>63.29</v>
      </c>
      <c r="D46" s="22">
        <f t="shared" si="53"/>
        <v>6.9300000000000015</v>
      </c>
      <c r="E46" s="22">
        <f t="shared" si="46"/>
        <v>4.32</v>
      </c>
      <c r="I46" s="22">
        <f t="shared" ref="I46:K46" si="55">C46*10.764</f>
        <v>681.25355999999999</v>
      </c>
      <c r="J46" s="22">
        <f t="shared" si="55"/>
        <v>74.594520000000017</v>
      </c>
      <c r="K46" s="22">
        <f t="shared" si="55"/>
        <v>46.500480000000003</v>
      </c>
      <c r="M46" s="22">
        <f t="shared" si="10"/>
        <v>802.34856000000002</v>
      </c>
    </row>
    <row r="47" spans="1:13" ht="15.75" customHeight="1" x14ac:dyDescent="0.25">
      <c r="B47" s="22">
        <v>4</v>
      </c>
      <c r="C47" s="22">
        <f>61.05</f>
        <v>61.05</v>
      </c>
      <c r="D47" s="22">
        <f>(3.2*0.95)+(3.1*1.1)</f>
        <v>6.4500000000000011</v>
      </c>
      <c r="E47" s="22">
        <f t="shared" si="46"/>
        <v>4.32</v>
      </c>
      <c r="H47" s="22" t="s">
        <v>54</v>
      </c>
      <c r="I47" s="22">
        <f t="shared" ref="I47:K47" si="56">C47*10.764</f>
        <v>657.14219999999989</v>
      </c>
      <c r="J47" s="22">
        <f t="shared" si="56"/>
        <v>69.427800000000005</v>
      </c>
      <c r="K47" s="22">
        <f t="shared" si="56"/>
        <v>46.500480000000003</v>
      </c>
      <c r="M47" s="22">
        <f t="shared" si="10"/>
        <v>773.07047999999998</v>
      </c>
    </row>
    <row r="48" spans="1:13" ht="15.75" customHeight="1" x14ac:dyDescent="0.25">
      <c r="A48" s="22">
        <v>13</v>
      </c>
      <c r="B48" s="22">
        <v>1</v>
      </c>
      <c r="C48" s="22">
        <f>69.84</f>
        <v>69.84</v>
      </c>
      <c r="D48" s="22">
        <f t="shared" ref="D48:D51" si="57">(3.2*1.1)+(3.1*1.1)</f>
        <v>6.9300000000000015</v>
      </c>
      <c r="E48" s="22">
        <f t="shared" si="46"/>
        <v>4.32</v>
      </c>
      <c r="I48" s="22">
        <f t="shared" ref="I48:K48" si="58">C48*10.764</f>
        <v>751.75775999999996</v>
      </c>
      <c r="J48" s="22">
        <f t="shared" si="58"/>
        <v>74.594520000000017</v>
      </c>
      <c r="K48" s="22">
        <f t="shared" si="58"/>
        <v>46.500480000000003</v>
      </c>
      <c r="M48" s="22">
        <f t="shared" si="10"/>
        <v>872.85275999999999</v>
      </c>
    </row>
    <row r="49" spans="1:13" ht="15.75" customHeight="1" x14ac:dyDescent="0.25">
      <c r="B49" s="22">
        <v>2</v>
      </c>
      <c r="C49" s="22">
        <f t="shared" ref="C49:C50" si="59">63.29</f>
        <v>63.29</v>
      </c>
      <c r="D49" s="22">
        <f t="shared" si="57"/>
        <v>6.9300000000000015</v>
      </c>
      <c r="E49" s="22">
        <f t="shared" si="46"/>
        <v>4.32</v>
      </c>
      <c r="I49" s="22">
        <f t="shared" ref="I49:K49" si="60">C49*10.764</f>
        <v>681.25355999999999</v>
      </c>
      <c r="J49" s="22">
        <f t="shared" si="60"/>
        <v>74.594520000000017</v>
      </c>
      <c r="K49" s="22">
        <f t="shared" si="60"/>
        <v>46.500480000000003</v>
      </c>
      <c r="M49" s="22">
        <f t="shared" si="10"/>
        <v>802.34856000000002</v>
      </c>
    </row>
    <row r="50" spans="1:13" ht="15.75" customHeight="1" x14ac:dyDescent="0.25">
      <c r="B50" s="22">
        <v>3</v>
      </c>
      <c r="C50" s="22">
        <f t="shared" si="59"/>
        <v>63.29</v>
      </c>
      <c r="D50" s="22">
        <f t="shared" si="57"/>
        <v>6.9300000000000015</v>
      </c>
      <c r="E50" s="22">
        <f t="shared" si="46"/>
        <v>4.32</v>
      </c>
      <c r="I50" s="22">
        <f t="shared" ref="I50:K50" si="61">C50*10.764</f>
        <v>681.25355999999999</v>
      </c>
      <c r="J50" s="22">
        <f t="shared" si="61"/>
        <v>74.594520000000017</v>
      </c>
      <c r="K50" s="22">
        <f t="shared" si="61"/>
        <v>46.500480000000003</v>
      </c>
      <c r="M50" s="22">
        <f t="shared" si="10"/>
        <v>802.34856000000002</v>
      </c>
    </row>
    <row r="51" spans="1:13" ht="15.75" customHeight="1" x14ac:dyDescent="0.25">
      <c r="B51" s="22">
        <v>4</v>
      </c>
      <c r="C51" s="22">
        <f t="shared" ref="C51:C52" si="62">69.84</f>
        <v>69.84</v>
      </c>
      <c r="D51" s="22">
        <f t="shared" si="57"/>
        <v>6.9300000000000015</v>
      </c>
      <c r="E51" s="22">
        <f t="shared" si="46"/>
        <v>4.32</v>
      </c>
      <c r="I51" s="22">
        <f t="shared" ref="I51:K51" si="63">C51*10.764</f>
        <v>751.75775999999996</v>
      </c>
      <c r="J51" s="22">
        <f t="shared" si="63"/>
        <v>74.594520000000017</v>
      </c>
      <c r="K51" s="22">
        <f t="shared" si="63"/>
        <v>46.500480000000003</v>
      </c>
      <c r="M51" s="22">
        <f t="shared" si="10"/>
        <v>872.85275999999999</v>
      </c>
    </row>
    <row r="52" spans="1:13" ht="15.75" customHeight="1" x14ac:dyDescent="0.25">
      <c r="A52" s="22">
        <v>14</v>
      </c>
      <c r="B52" s="22">
        <v>1</v>
      </c>
      <c r="C52" s="22">
        <f t="shared" si="62"/>
        <v>69.84</v>
      </c>
      <c r="D52" s="22">
        <f>(3.2*1.55)+(3.1*1.1)</f>
        <v>8.370000000000001</v>
      </c>
      <c r="E52" s="22">
        <f t="shared" si="46"/>
        <v>4.32</v>
      </c>
      <c r="I52" s="22">
        <f t="shared" ref="I52:K52" si="64">C52*10.764</f>
        <v>751.75775999999996</v>
      </c>
      <c r="J52" s="22">
        <f t="shared" si="64"/>
        <v>90.094680000000011</v>
      </c>
      <c r="K52" s="22">
        <f t="shared" si="64"/>
        <v>46.500480000000003</v>
      </c>
      <c r="M52" s="22">
        <f t="shared" si="10"/>
        <v>888.35292000000004</v>
      </c>
    </row>
    <row r="53" spans="1:13" ht="15.75" customHeight="1" x14ac:dyDescent="0.25">
      <c r="B53" s="22">
        <v>2</v>
      </c>
      <c r="C53" s="22">
        <f t="shared" ref="C53:C54" si="65">68.4</f>
        <v>68.400000000000006</v>
      </c>
      <c r="D53" s="22">
        <f t="shared" ref="D53:D54" si="66">(3.2*1.1)+(3.1*1.1)</f>
        <v>6.9300000000000015</v>
      </c>
      <c r="E53" s="22">
        <f t="shared" si="46"/>
        <v>4.32</v>
      </c>
      <c r="I53" s="22">
        <f t="shared" ref="I53:K53" si="67">C53*10.764</f>
        <v>736.25760000000002</v>
      </c>
      <c r="J53" s="22">
        <f t="shared" si="67"/>
        <v>74.594520000000017</v>
      </c>
      <c r="K53" s="22">
        <f t="shared" si="67"/>
        <v>46.500480000000003</v>
      </c>
      <c r="M53" s="22">
        <f t="shared" si="10"/>
        <v>857.35260000000005</v>
      </c>
    </row>
    <row r="54" spans="1:13" ht="15.75" customHeight="1" x14ac:dyDescent="0.25">
      <c r="B54" s="22">
        <v>3</v>
      </c>
      <c r="C54" s="22">
        <f t="shared" si="65"/>
        <v>68.400000000000006</v>
      </c>
      <c r="D54" s="22">
        <f t="shared" si="66"/>
        <v>6.9300000000000015</v>
      </c>
      <c r="E54" s="22">
        <f t="shared" si="46"/>
        <v>4.32</v>
      </c>
      <c r="I54" s="22">
        <f t="shared" ref="I54:K54" si="68">C54*10.764</f>
        <v>736.25760000000002</v>
      </c>
      <c r="J54" s="22">
        <f t="shared" si="68"/>
        <v>74.594520000000017</v>
      </c>
      <c r="K54" s="22">
        <f t="shared" si="68"/>
        <v>46.500480000000003</v>
      </c>
      <c r="M54" s="22">
        <f t="shared" si="10"/>
        <v>857.35260000000005</v>
      </c>
    </row>
    <row r="55" spans="1:13" ht="15.75" customHeight="1" x14ac:dyDescent="0.25">
      <c r="B55" s="22">
        <v>4</v>
      </c>
      <c r="C55" s="22">
        <f>69.84</f>
        <v>69.84</v>
      </c>
      <c r="D55" s="22">
        <f>(3.2*1.55)+(3.1*1.1)</f>
        <v>8.370000000000001</v>
      </c>
      <c r="E55" s="22">
        <f t="shared" si="46"/>
        <v>4.32</v>
      </c>
      <c r="I55" s="22">
        <f t="shared" ref="I55:K55" si="69">C55*10.764</f>
        <v>751.75775999999996</v>
      </c>
      <c r="J55" s="22">
        <f t="shared" si="69"/>
        <v>90.094680000000011</v>
      </c>
      <c r="K55" s="22">
        <f t="shared" si="69"/>
        <v>46.500480000000003</v>
      </c>
      <c r="M55" s="22">
        <f t="shared" si="10"/>
        <v>888.35292000000004</v>
      </c>
    </row>
    <row r="56" spans="1:13" ht="15.75" customHeight="1" x14ac:dyDescent="0.25">
      <c r="A56" s="22">
        <v>15</v>
      </c>
      <c r="B56" s="22">
        <v>1</v>
      </c>
      <c r="M56" s="22">
        <f>SUM(M2:M55)</f>
        <v>39526.780409999985</v>
      </c>
    </row>
    <row r="57" spans="1:13" ht="15.75" customHeight="1" x14ac:dyDescent="0.25">
      <c r="B57" s="22">
        <v>2</v>
      </c>
    </row>
    <row r="58" spans="1:13" ht="15.75" customHeight="1" x14ac:dyDescent="0.25">
      <c r="B58" s="22">
        <v>3</v>
      </c>
    </row>
    <row r="59" spans="1:13" ht="15.75" customHeight="1" x14ac:dyDescent="0.25">
      <c r="B59" s="22">
        <v>4</v>
      </c>
    </row>
    <row r="60" spans="1:13" ht="15.75" customHeight="1" x14ac:dyDescent="0.25">
      <c r="A60" s="22">
        <v>16</v>
      </c>
      <c r="B60" s="22">
        <v>1</v>
      </c>
    </row>
    <row r="61" spans="1:13" ht="15.75" customHeight="1" x14ac:dyDescent="0.25">
      <c r="B61" s="22">
        <v>2</v>
      </c>
    </row>
    <row r="62" spans="1:13" ht="15.75" customHeight="1" x14ac:dyDescent="0.25">
      <c r="B62" s="22">
        <v>3</v>
      </c>
    </row>
    <row r="63" spans="1:13" ht="15.75" customHeight="1" x14ac:dyDescent="0.25">
      <c r="B63" s="22">
        <v>4</v>
      </c>
    </row>
    <row r="64" spans="1:13" ht="15.75" customHeight="1" x14ac:dyDescent="0.25">
      <c r="B64" s="22">
        <v>1</v>
      </c>
    </row>
    <row r="65" spans="2:2" ht="15.75" customHeight="1" x14ac:dyDescent="0.25">
      <c r="B65" s="22">
        <v>2</v>
      </c>
    </row>
    <row r="66" spans="2:2" ht="15.75" customHeight="1" x14ac:dyDescent="0.25">
      <c r="B66" s="22">
        <v>3</v>
      </c>
    </row>
    <row r="67" spans="2:2" ht="15.75" customHeight="1" x14ac:dyDescent="0.25">
      <c r="B67" s="22">
        <v>4</v>
      </c>
    </row>
    <row r="68" spans="2:2" ht="15.75" customHeight="1" x14ac:dyDescent="0.25">
      <c r="B68" s="22">
        <v>1</v>
      </c>
    </row>
    <row r="69" spans="2:2" ht="15.75" customHeight="1" x14ac:dyDescent="0.25">
      <c r="B69" s="22">
        <v>2</v>
      </c>
    </row>
    <row r="70" spans="2:2" ht="15.75" customHeight="1" x14ac:dyDescent="0.25">
      <c r="B70" s="22">
        <v>3</v>
      </c>
    </row>
    <row r="71" spans="2:2" ht="15.75" customHeight="1" x14ac:dyDescent="0.25">
      <c r="B71" s="22">
        <v>4</v>
      </c>
    </row>
    <row r="72" spans="2:2" ht="15.75" customHeight="1" x14ac:dyDescent="0.25">
      <c r="B72" s="22">
        <v>1</v>
      </c>
    </row>
    <row r="73" spans="2:2" ht="15.75" customHeight="1" x14ac:dyDescent="0.25">
      <c r="B73" s="22">
        <v>2</v>
      </c>
    </row>
    <row r="74" spans="2:2" ht="15.75" customHeight="1" x14ac:dyDescent="0.25">
      <c r="B74" s="22">
        <v>3</v>
      </c>
    </row>
    <row r="75" spans="2:2" ht="15.75" customHeight="1" x14ac:dyDescent="0.25">
      <c r="B75" s="22">
        <v>4</v>
      </c>
    </row>
    <row r="76" spans="2:2" ht="15.75" customHeight="1" x14ac:dyDescent="0.25">
      <c r="B76" s="22">
        <v>1</v>
      </c>
    </row>
    <row r="77" spans="2:2" ht="15.75" customHeight="1" x14ac:dyDescent="0.25">
      <c r="B77" s="22">
        <v>2</v>
      </c>
    </row>
    <row r="78" spans="2:2" ht="15.75" customHeight="1" x14ac:dyDescent="0.25">
      <c r="B78" s="22">
        <v>3</v>
      </c>
    </row>
    <row r="79" spans="2:2" ht="15.75" customHeight="1" x14ac:dyDescent="0.25">
      <c r="B79" s="22">
        <v>4</v>
      </c>
    </row>
    <row r="80" spans="2:2" ht="15.75" customHeight="1" x14ac:dyDescent="0.25">
      <c r="B80" s="22">
        <v>1</v>
      </c>
    </row>
    <row r="81" spans="2:2" ht="15.75" customHeight="1" x14ac:dyDescent="0.25">
      <c r="B81" s="22">
        <v>2</v>
      </c>
    </row>
    <row r="82" spans="2:2" ht="15.75" customHeight="1" x14ac:dyDescent="0.25">
      <c r="B82" s="22">
        <v>3</v>
      </c>
    </row>
    <row r="83" spans="2:2" ht="15.75" customHeight="1" x14ac:dyDescent="0.25">
      <c r="B83" s="22">
        <v>4</v>
      </c>
    </row>
    <row r="84" spans="2:2" ht="15.75" customHeight="1" x14ac:dyDescent="0.25">
      <c r="B84" s="22">
        <v>1</v>
      </c>
    </row>
    <row r="85" spans="2:2" ht="15.75" customHeight="1" x14ac:dyDescent="0.25">
      <c r="B85" s="22">
        <v>2</v>
      </c>
    </row>
    <row r="86" spans="2:2" ht="15.75" customHeight="1" x14ac:dyDescent="0.25">
      <c r="B86" s="22">
        <v>3</v>
      </c>
    </row>
    <row r="87" spans="2:2" ht="15.75" customHeight="1" x14ac:dyDescent="0.25">
      <c r="B87" s="22">
        <v>4</v>
      </c>
    </row>
    <row r="88" spans="2:2" ht="15.75" customHeight="1" x14ac:dyDescent="0.2"/>
    <row r="89" spans="2:2" ht="15.75" customHeight="1" x14ac:dyDescent="0.2"/>
    <row r="90" spans="2:2" ht="15.75" customHeight="1" x14ac:dyDescent="0.2"/>
    <row r="91" spans="2:2" ht="15.75" customHeight="1" x14ac:dyDescent="0.2"/>
    <row r="92" spans="2:2" ht="15.75" customHeight="1" x14ac:dyDescent="0.2"/>
    <row r="93" spans="2:2" ht="15.75" customHeight="1" x14ac:dyDescent="0.2"/>
    <row r="94" spans="2:2" ht="15.75" customHeight="1" x14ac:dyDescent="0.2"/>
    <row r="95" spans="2:2" ht="15.75" customHeight="1" x14ac:dyDescent="0.2"/>
    <row r="96" spans="2:2" ht="15.75" customHeight="1" x14ac:dyDescent="0.2"/>
    <row r="97" ht="15.75" customHeight="1" x14ac:dyDescent="0.2"/>
    <row r="98" ht="15.75" customHeight="1" x14ac:dyDescent="0.2"/>
    <row r="99" ht="15.75" customHeight="1" x14ac:dyDescent="0.2"/>
    <row r="100" ht="15.75" customHeight="1" x14ac:dyDescent="0.2"/>
    <row r="101" ht="15.75" customHeight="1" x14ac:dyDescent="0.2"/>
    <row r="102" ht="15.75" customHeight="1" x14ac:dyDescent="0.2"/>
    <row r="103" ht="15.75" customHeight="1" x14ac:dyDescent="0.2"/>
    <row r="104" ht="15.75" customHeight="1" x14ac:dyDescent="0.2"/>
    <row r="105" ht="15.75" customHeight="1" x14ac:dyDescent="0.2"/>
    <row r="106" ht="15.75" customHeight="1" x14ac:dyDescent="0.2"/>
    <row r="107" ht="15.75" customHeight="1" x14ac:dyDescent="0.2"/>
    <row r="108" ht="15.75" customHeight="1" x14ac:dyDescent="0.2"/>
    <row r="109" ht="15.75" customHeight="1" x14ac:dyDescent="0.2"/>
    <row r="110" ht="15.75" customHeight="1" x14ac:dyDescent="0.2"/>
    <row r="111" ht="15.75" customHeight="1" x14ac:dyDescent="0.2"/>
    <row r="112" ht="15.75" customHeight="1" x14ac:dyDescent="0.2"/>
    <row r="113" ht="15.75" customHeight="1" x14ac:dyDescent="0.2"/>
    <row r="114" ht="15.75" customHeight="1" x14ac:dyDescent="0.2"/>
    <row r="115" ht="15.75" customHeight="1" x14ac:dyDescent="0.2"/>
    <row r="116" ht="15.75" customHeight="1" x14ac:dyDescent="0.2"/>
    <row r="117" ht="15.75" customHeight="1" x14ac:dyDescent="0.2"/>
    <row r="118" ht="15.75" customHeight="1" x14ac:dyDescent="0.2"/>
    <row r="119" ht="15.75" customHeight="1" x14ac:dyDescent="0.2"/>
    <row r="120" ht="15.75" customHeight="1" x14ac:dyDescent="0.2"/>
    <row r="121" ht="15.75" customHeight="1" x14ac:dyDescent="0.2"/>
    <row r="122" ht="15.75" customHeight="1" x14ac:dyDescent="0.2"/>
    <row r="123" ht="15.75" customHeight="1" x14ac:dyDescent="0.2"/>
    <row r="124" ht="15.75" customHeight="1" x14ac:dyDescent="0.2"/>
    <row r="125" ht="15.75" customHeight="1" x14ac:dyDescent="0.2"/>
    <row r="126" ht="15.75" customHeight="1" x14ac:dyDescent="0.2"/>
    <row r="127" ht="15.75" customHeight="1" x14ac:dyDescent="0.2"/>
    <row r="128" ht="15.75" customHeight="1" x14ac:dyDescent="0.2"/>
    <row r="129" ht="15.75" customHeight="1" x14ac:dyDescent="0.2"/>
    <row r="130" ht="15.75" customHeight="1" x14ac:dyDescent="0.2"/>
    <row r="131" ht="15.75" customHeight="1" x14ac:dyDescent="0.2"/>
    <row r="132" ht="15.75" customHeight="1" x14ac:dyDescent="0.2"/>
    <row r="133" ht="15.75" customHeight="1" x14ac:dyDescent="0.2"/>
    <row r="134" ht="15.75" customHeight="1" x14ac:dyDescent="0.2"/>
    <row r="135" ht="15.75" customHeight="1" x14ac:dyDescent="0.2"/>
    <row r="136" ht="15.75" customHeight="1" x14ac:dyDescent="0.2"/>
    <row r="137" ht="15.75" customHeight="1" x14ac:dyDescent="0.2"/>
    <row r="138" ht="15.75" customHeight="1" x14ac:dyDescent="0.2"/>
    <row r="139" ht="15.75" customHeight="1" x14ac:dyDescent="0.2"/>
    <row r="140" ht="15.75" customHeight="1" x14ac:dyDescent="0.2"/>
    <row r="141" ht="15.75" customHeight="1" x14ac:dyDescent="0.2"/>
    <row r="142" ht="15.75" customHeight="1" x14ac:dyDescent="0.2"/>
    <row r="143" ht="15.75" customHeight="1" x14ac:dyDescent="0.2"/>
    <row r="144" ht="15.75" customHeight="1" x14ac:dyDescent="0.2"/>
    <row r="145" ht="15.75" customHeight="1" x14ac:dyDescent="0.2"/>
    <row r="146" ht="15.75" customHeight="1" x14ac:dyDescent="0.2"/>
    <row r="147" ht="15.75" customHeight="1" x14ac:dyDescent="0.2"/>
    <row r="148" ht="15.75" customHeight="1" x14ac:dyDescent="0.2"/>
    <row r="149" ht="15.75" customHeight="1" x14ac:dyDescent="0.2"/>
    <row r="150" ht="15.75" customHeight="1" x14ac:dyDescent="0.2"/>
    <row r="151" ht="15.75" customHeight="1" x14ac:dyDescent="0.2"/>
    <row r="152" ht="15.75" customHeight="1" x14ac:dyDescent="0.2"/>
    <row r="153" ht="15.75" customHeight="1" x14ac:dyDescent="0.2"/>
    <row r="154" ht="15.75" customHeight="1" x14ac:dyDescent="0.2"/>
    <row r="155" ht="15.75" customHeight="1" x14ac:dyDescent="0.2"/>
    <row r="156" ht="15.75" customHeight="1" x14ac:dyDescent="0.2"/>
    <row r="157" ht="15.75" customHeight="1" x14ac:dyDescent="0.2"/>
    <row r="158" ht="15.75" customHeight="1" x14ac:dyDescent="0.2"/>
    <row r="159" ht="15.75" customHeight="1" x14ac:dyDescent="0.2"/>
    <row r="160" ht="15.75" customHeight="1" x14ac:dyDescent="0.2"/>
    <row r="161" ht="15.75" customHeight="1" x14ac:dyDescent="0.2"/>
    <row r="162" ht="15.75" customHeight="1" x14ac:dyDescent="0.2"/>
    <row r="163" ht="15.75" customHeight="1" x14ac:dyDescent="0.2"/>
    <row r="164" ht="15.75" customHeight="1" x14ac:dyDescent="0.2"/>
    <row r="165" ht="15.75" customHeight="1" x14ac:dyDescent="0.2"/>
    <row r="166" ht="15.75" customHeight="1" x14ac:dyDescent="0.2"/>
    <row r="167" ht="15.75" customHeight="1" x14ac:dyDescent="0.2"/>
    <row r="168" ht="15.75" customHeight="1" x14ac:dyDescent="0.2"/>
    <row r="169" ht="15.75" customHeight="1" x14ac:dyDescent="0.2"/>
    <row r="170" ht="15.75" customHeight="1" x14ac:dyDescent="0.2"/>
    <row r="171" ht="15.75" customHeight="1" x14ac:dyDescent="0.2"/>
    <row r="172" ht="15.75" customHeight="1" x14ac:dyDescent="0.2"/>
    <row r="173" ht="15.75" customHeight="1" x14ac:dyDescent="0.2"/>
    <row r="174" ht="15.75" customHeight="1" x14ac:dyDescent="0.2"/>
    <row r="175" ht="15.75" customHeight="1" x14ac:dyDescent="0.2"/>
    <row r="176" ht="15.75" customHeight="1" x14ac:dyDescent="0.2"/>
    <row r="177" ht="15.75" customHeight="1" x14ac:dyDescent="0.2"/>
    <row r="178" ht="15.75" customHeight="1" x14ac:dyDescent="0.2"/>
    <row r="179" ht="15.75" customHeight="1" x14ac:dyDescent="0.2"/>
    <row r="180" ht="15.75" customHeight="1" x14ac:dyDescent="0.2"/>
    <row r="181" ht="15.75" customHeight="1" x14ac:dyDescent="0.2"/>
    <row r="182" ht="15.75" customHeight="1" x14ac:dyDescent="0.2"/>
    <row r="183" ht="15.75" customHeight="1" x14ac:dyDescent="0.2"/>
    <row r="184" ht="15.75" customHeight="1" x14ac:dyDescent="0.2"/>
    <row r="185" ht="15.75" customHeight="1" x14ac:dyDescent="0.2"/>
    <row r="186" ht="15.75" customHeight="1" x14ac:dyDescent="0.2"/>
    <row r="187" ht="15.75" customHeight="1" x14ac:dyDescent="0.2"/>
    <row r="188" ht="15.75" customHeight="1" x14ac:dyDescent="0.2"/>
    <row r="189" ht="15.75" customHeight="1" x14ac:dyDescent="0.2"/>
    <row r="190" ht="15.75" customHeight="1" x14ac:dyDescent="0.2"/>
    <row r="191" ht="15.75" customHeight="1" x14ac:dyDescent="0.2"/>
    <row r="192" ht="15.75" customHeight="1" x14ac:dyDescent="0.2"/>
    <row r="193" ht="15.75" customHeight="1" x14ac:dyDescent="0.2"/>
    <row r="194" ht="15.75" customHeight="1" x14ac:dyDescent="0.2"/>
    <row r="195" ht="15.75" customHeight="1" x14ac:dyDescent="0.2"/>
    <row r="196" ht="15.75" customHeight="1" x14ac:dyDescent="0.2"/>
    <row r="197" ht="15.75" customHeight="1" x14ac:dyDescent="0.2"/>
    <row r="198" ht="15.75" customHeight="1" x14ac:dyDescent="0.2"/>
    <row r="199" ht="15.75" customHeight="1" x14ac:dyDescent="0.2"/>
    <row r="200" ht="15.75" customHeight="1" x14ac:dyDescent="0.2"/>
    <row r="201" ht="15.75" customHeight="1" x14ac:dyDescent="0.2"/>
    <row r="202" ht="15.75" customHeight="1" x14ac:dyDescent="0.2"/>
    <row r="203" ht="15.75" customHeight="1" x14ac:dyDescent="0.2"/>
    <row r="204" ht="15.75" customHeight="1" x14ac:dyDescent="0.2"/>
    <row r="205" ht="15.75" customHeight="1" x14ac:dyDescent="0.2"/>
    <row r="206" ht="15.75" customHeight="1" x14ac:dyDescent="0.2"/>
    <row r="207" ht="15.75" customHeight="1" x14ac:dyDescent="0.2"/>
    <row r="208" ht="15.75" customHeight="1" x14ac:dyDescent="0.2"/>
    <row r="209" ht="15.75" customHeight="1" x14ac:dyDescent="0.2"/>
    <row r="210" ht="15.75" customHeight="1" x14ac:dyDescent="0.2"/>
    <row r="211" ht="15.75" customHeight="1" x14ac:dyDescent="0.2"/>
    <row r="212" ht="15.75" customHeight="1" x14ac:dyDescent="0.2"/>
    <row r="213" ht="15.75" customHeight="1" x14ac:dyDescent="0.2"/>
    <row r="214" ht="15.75" customHeight="1" x14ac:dyDescent="0.2"/>
    <row r="215" ht="15.75" customHeight="1" x14ac:dyDescent="0.2"/>
    <row r="216" ht="15.75" customHeight="1" x14ac:dyDescent="0.2"/>
    <row r="217" ht="15.75" customHeight="1" x14ac:dyDescent="0.2"/>
    <row r="218" ht="15.75" customHeight="1" x14ac:dyDescent="0.2"/>
    <row r="219" ht="15.75" customHeight="1" x14ac:dyDescent="0.2"/>
    <row r="220" ht="15.75" customHeight="1" x14ac:dyDescent="0.2"/>
    <row r="221" ht="15.75" customHeight="1" x14ac:dyDescent="0.2"/>
    <row r="222" ht="15.75" customHeight="1" x14ac:dyDescent="0.2"/>
    <row r="223" ht="15.75" customHeight="1" x14ac:dyDescent="0.2"/>
    <row r="224" ht="15.75" customHeight="1" x14ac:dyDescent="0.2"/>
    <row r="225" ht="15.75" customHeight="1" x14ac:dyDescent="0.2"/>
    <row r="226" ht="15.75" customHeight="1" x14ac:dyDescent="0.2"/>
    <row r="227" ht="15.75" customHeight="1" x14ac:dyDescent="0.2"/>
    <row r="228" ht="15.75" customHeight="1" x14ac:dyDescent="0.2"/>
    <row r="229" ht="15.75" customHeight="1" x14ac:dyDescent="0.2"/>
    <row r="230" ht="15.75" customHeight="1" x14ac:dyDescent="0.2"/>
    <row r="231" ht="15.75" customHeight="1" x14ac:dyDescent="0.2"/>
    <row r="232" ht="15.75" customHeight="1" x14ac:dyDescent="0.2"/>
    <row r="233" ht="15.75" customHeight="1" x14ac:dyDescent="0.2"/>
    <row r="234" ht="15.75" customHeight="1" x14ac:dyDescent="0.2"/>
    <row r="235" ht="15.75" customHeight="1" x14ac:dyDescent="0.2"/>
    <row r="236" ht="15.75" customHeight="1" x14ac:dyDescent="0.2"/>
    <row r="237" ht="15.75" customHeight="1" x14ac:dyDescent="0.2"/>
    <row r="238" ht="15.75" customHeight="1" x14ac:dyDescent="0.2"/>
    <row r="239" ht="15.75" customHeight="1" x14ac:dyDescent="0.2"/>
    <row r="240" ht="15.75" customHeight="1" x14ac:dyDescent="0.2"/>
    <row r="241" ht="15.75" customHeight="1" x14ac:dyDescent="0.2"/>
    <row r="242" ht="15.75" customHeight="1" x14ac:dyDescent="0.2"/>
    <row r="243" ht="15.75" customHeight="1" x14ac:dyDescent="0.2"/>
    <row r="244" ht="15.75" customHeight="1" x14ac:dyDescent="0.2"/>
    <row r="245" ht="15.75" customHeight="1" x14ac:dyDescent="0.2"/>
    <row r="246" ht="15.75" customHeight="1" x14ac:dyDescent="0.2"/>
    <row r="247" ht="15.75" customHeight="1" x14ac:dyDescent="0.2"/>
    <row r="248" ht="15.75" customHeight="1" x14ac:dyDescent="0.2"/>
    <row r="249" ht="15.75" customHeight="1" x14ac:dyDescent="0.2"/>
    <row r="250" ht="15.75" customHeight="1" x14ac:dyDescent="0.2"/>
    <row r="251" ht="15.75" customHeight="1" x14ac:dyDescent="0.2"/>
    <row r="252" ht="15.75" customHeight="1" x14ac:dyDescent="0.2"/>
    <row r="253" ht="15.75" customHeight="1" x14ac:dyDescent="0.2"/>
    <row r="254" ht="15.75" customHeight="1" x14ac:dyDescent="0.2"/>
    <row r="255" ht="15.75" customHeight="1" x14ac:dyDescent="0.2"/>
    <row r="256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  <row r="993" ht="15.75" customHeight="1" x14ac:dyDescent="0.2"/>
    <row r="994" ht="15.75" customHeight="1" x14ac:dyDescent="0.2"/>
    <row r="995" ht="15.75" customHeight="1" x14ac:dyDescent="0.2"/>
    <row r="996" ht="15.75" customHeight="1" x14ac:dyDescent="0.2"/>
    <row r="997" ht="15.75" customHeight="1" x14ac:dyDescent="0.2"/>
    <row r="998" ht="15.75" customHeight="1" x14ac:dyDescent="0.2"/>
    <row r="999" ht="15.75" customHeight="1" x14ac:dyDescent="0.2"/>
    <row r="1000" ht="15.75" customHeight="1" x14ac:dyDescent="0.2"/>
  </sheetData>
  <pageMargins left="0.7" right="0.7" top="0.75" bottom="0.75" header="0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Summary VCIPL</vt:lpstr>
      <vt:lpstr>Land, Stamp Duty and rent cost</vt:lpstr>
      <vt:lpstr>Permission Charges</vt:lpstr>
      <vt:lpstr>Construction Area Statement (2)</vt:lpstr>
      <vt:lpstr>Revised Area Stmt</vt:lpstr>
      <vt:lpstr>Revised Unsold Inventory</vt:lpstr>
      <vt:lpstr>Revised Sold Inventory</vt:lpstr>
      <vt:lpstr>Revised Tenant Inventory</vt:lpstr>
      <vt:lpstr>Sheet1</vt:lpstr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Desk-107</dc:creator>
  <cp:lastModifiedBy>Desk</cp:lastModifiedBy>
  <dcterms:created xsi:type="dcterms:W3CDTF">2006-09-16T00:00:00Z</dcterms:created>
  <dcterms:modified xsi:type="dcterms:W3CDTF">2025-02-17T11:08:14Z</dcterms:modified>
</cp:coreProperties>
</file>