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albadevi Branch\Gaury Vagya Shetty\"/>
    </mc:Choice>
  </mc:AlternateContent>
  <xr:revisionPtr revIDLastSave="0" documentId="13_ncr:1_{551497B5-129F-431E-B5B8-6F957F4A3D2A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4" i="25" l="1"/>
  <c r="C25" i="23"/>
  <c r="V7" i="4"/>
  <c r="W7" i="4" s="1"/>
  <c r="V8" i="4"/>
  <c r="V9" i="4"/>
  <c r="V10" i="4"/>
  <c r="W10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6" i="4"/>
  <c r="O9" i="4"/>
  <c r="R9" i="4" s="1"/>
  <c r="P9" i="4"/>
  <c r="P8" i="4"/>
  <c r="S8" i="4" s="1"/>
  <c r="O8" i="4"/>
  <c r="R8" i="4" s="1"/>
  <c r="S9" i="4"/>
  <c r="R14" i="4"/>
  <c r="R13" i="4"/>
  <c r="R12" i="4"/>
  <c r="R11" i="4"/>
  <c r="R10" i="4"/>
  <c r="R7" i="4"/>
  <c r="P7" i="4"/>
  <c r="S7" i="4" s="1"/>
  <c r="C11" i="4"/>
  <c r="D11" i="4" s="1"/>
  <c r="H11" i="4" s="1"/>
  <c r="H5" i="4"/>
  <c r="P6" i="4"/>
  <c r="S6" i="4" s="1"/>
  <c r="P5" i="4"/>
  <c r="S5" i="4" s="1"/>
  <c r="P4" i="4"/>
  <c r="O4" i="4" s="1"/>
  <c r="R4" i="4" s="1"/>
  <c r="P3" i="4"/>
  <c r="S3" i="4" s="1"/>
  <c r="O2" i="4"/>
  <c r="R2" i="4" s="1"/>
  <c r="P2" i="4"/>
  <c r="S2" i="4" s="1"/>
  <c r="C5" i="4"/>
  <c r="B5" i="4" s="1"/>
  <c r="C7" i="23"/>
  <c r="C3" i="4"/>
  <c r="D3" i="4" s="1"/>
  <c r="H3" i="4" s="1"/>
  <c r="C4" i="4"/>
  <c r="D4" i="4" s="1"/>
  <c r="H4" i="4" s="1"/>
  <c r="C6" i="4"/>
  <c r="D6" i="4" s="1"/>
  <c r="H6" i="4" s="1"/>
  <c r="C7" i="4"/>
  <c r="D7" i="4" s="1"/>
  <c r="H7" i="4" s="1"/>
  <c r="C8" i="4"/>
  <c r="D8" i="4" s="1"/>
  <c r="H8" i="4" s="1"/>
  <c r="C9" i="4"/>
  <c r="D9" i="4" s="1"/>
  <c r="H9" i="4" s="1"/>
  <c r="D23" i="23"/>
  <c r="M6" i="23"/>
  <c r="I4" i="23"/>
  <c r="C10" i="4"/>
  <c r="D10" i="4" s="1"/>
  <c r="H10" i="4" s="1"/>
  <c r="D2" i="4"/>
  <c r="H2" i="4" s="1"/>
  <c r="C2" i="4"/>
  <c r="S4" i="4"/>
  <c r="C12" i="4"/>
  <c r="D12" i="4" s="1"/>
  <c r="H12" i="4" s="1"/>
  <c r="C13" i="4"/>
  <c r="D13" i="4" s="1"/>
  <c r="O6" i="4" l="1"/>
  <c r="R6" i="4" s="1"/>
  <c r="W9" i="4"/>
  <c r="W8" i="4"/>
  <c r="O3" i="4"/>
  <c r="R3" i="4" s="1"/>
  <c r="O5" i="4"/>
  <c r="R5" i="4" s="1"/>
  <c r="P11" i="4"/>
  <c r="P10" i="4"/>
  <c r="F6" i="4"/>
  <c r="F5" i="4"/>
  <c r="F3" i="4"/>
  <c r="G7" i="4"/>
  <c r="C14" i="4"/>
  <c r="D14" i="4" s="1"/>
  <c r="F4" i="4"/>
  <c r="F2" i="4"/>
  <c r="W6" i="4" l="1"/>
  <c r="G4" i="4"/>
  <c r="G5" i="4"/>
  <c r="G6" i="4"/>
  <c r="G3" i="4"/>
  <c r="G2" i="4"/>
  <c r="C23" i="23" l="1"/>
  <c r="C15" i="4" l="1"/>
  <c r="G24" i="4"/>
  <c r="G32" i="4" s="1"/>
  <c r="C14" i="23" l="1"/>
  <c r="C3" i="23"/>
  <c r="I21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9" i="25" l="1"/>
  <c r="C10" i="25" s="1"/>
  <c r="E10" i="25" s="1"/>
  <c r="E5" i="25"/>
  <c r="G29" i="4" l="1"/>
  <c r="G30" i="4" s="1"/>
  <c r="J13" i="4"/>
  <c r="I13" i="4"/>
  <c r="J12" i="4"/>
  <c r="I12" i="4"/>
  <c r="J11" i="4"/>
  <c r="I11" i="4"/>
  <c r="H30" i="4" l="1"/>
  <c r="I29" i="4"/>
  <c r="G33" i="4"/>
  <c r="G34" i="4" l="1"/>
  <c r="I26" i="4"/>
  <c r="H32" i="4"/>
  <c r="C84" i="23" l="1"/>
  <c r="C8" i="23"/>
  <c r="C6" i="23"/>
  <c r="C10" i="23" l="1"/>
  <c r="C11" i="23" s="1"/>
  <c r="C12" i="23" s="1"/>
  <c r="C13" i="23" s="1"/>
  <c r="C16" i="23" l="1"/>
  <c r="C19" i="23" s="1"/>
  <c r="F32" i="23" l="1"/>
  <c r="H33" i="23" s="1"/>
  <c r="C20" i="23"/>
  <c r="F33" i="23" s="1"/>
  <c r="C21" i="23"/>
  <c r="F34" i="23" s="1"/>
  <c r="J17" i="4"/>
  <c r="I17" i="4"/>
  <c r="J16" i="4"/>
  <c r="I16" i="4"/>
  <c r="J15" i="4"/>
  <c r="I15" i="4"/>
  <c r="J14" i="4"/>
  <c r="I14" i="4"/>
  <c r="B17" i="4" l="1"/>
  <c r="C17" i="4" l="1"/>
  <c r="G17" i="4" s="1"/>
  <c r="F17" i="4"/>
  <c r="C16" i="4"/>
  <c r="G16" i="4" s="1"/>
  <c r="F16" i="4"/>
  <c r="G15" i="4"/>
  <c r="F15" i="4"/>
  <c r="D17" i="4"/>
  <c r="H17" i="4" s="1"/>
  <c r="D15" i="4" l="1"/>
  <c r="H15" i="4" s="1"/>
  <c r="D16" i="4"/>
  <c r="H16" i="4" s="1"/>
  <c r="H14" i="4" l="1"/>
  <c r="F14" i="4"/>
  <c r="G14" i="4"/>
  <c r="F10" i="4"/>
  <c r="G10" i="4"/>
  <c r="G11" i="4"/>
  <c r="F11" i="4"/>
  <c r="F9" i="4"/>
  <c r="F8" i="4"/>
  <c r="F7" i="4"/>
  <c r="G12" i="4"/>
  <c r="F12" i="4"/>
  <c r="G13" i="4"/>
  <c r="F13" i="4"/>
  <c r="H13" i="4"/>
  <c r="G8" i="4" l="1"/>
  <c r="G9" i="4"/>
</calcChain>
</file>

<file path=xl/sharedStrings.xml><?xml version="1.0" encoding="utf-8"?>
<sst xmlns="http://schemas.openxmlformats.org/spreadsheetml/2006/main" count="106" uniqueCount="86">
  <si>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</si>
  <si>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</si>
  <si>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</si>
  <si>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</si>
  <si>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</si>
  <si>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</si>
  <si>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</si>
  <si>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</si>
  <si>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</si>
  <si>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</si>
  <si>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</si>
  <si>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</si>
  <si>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</si>
  <si>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</si>
  <si>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</si>
  <si>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</si>
  <si>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</si>
  <si>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</si>
  <si>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</si>
  <si>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</si>
  <si>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</si>
  <si>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</si>
  <si>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</si>
  <si>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</si>
  <si>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</si>
  <si>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</si>
  <si>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</si>
  <si>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</si>
  <si>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</si>
  <si>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</si>
  <si>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</si>
  <si>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</si>
  <si>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</si>
  <si>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</si>
  <si>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</si>
  <si>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</si>
  <si>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</si>
  <si>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</si>
  <si>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</si>
  <si>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</si>
  <si>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</si>
  <si>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</si>
  <si>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</si>
  <si>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</si>
  <si>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</si>
  <si>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</si>
  <si>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</si>
  <si>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</si>
  <si>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</si>
  <si>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</si>
  <si>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</si>
  <si>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</si>
  <si>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</si>
  <si>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</si>
  <si>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</si>
  <si>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</si>
  <si>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</si>
  <si>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</si>
  <si>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</si>
  <si>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</si>
  <si>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</si>
  <si>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</si>
  <si>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</si>
  <si>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</si>
  <si>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</si>
  <si>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</si>
  <si>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</si>
  <si>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</si>
  <si>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</si>
  <si>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</si>
  <si>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</si>
  <si>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</si>
  <si>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</si>
  <si>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</si>
  <si>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</si>
  <si>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Lead No. 14291</t>
  </si>
  <si>
    <t>BOI (Kalbadevi Branch)</t>
  </si>
  <si>
    <t xml:space="preserve">BOI - Kalbadevi Branch -Mrs. Gaury Vagya Shetty - Residential Flat No. 502, 5th Floor, Wing - C, Bhoomi Elegent CHSL, Thakur Complex, Kandivali East, Mumbai, 400101  </t>
  </si>
  <si>
    <t xml:space="preserve">Mrs. Gaury Vagya Shetty </t>
  </si>
  <si>
    <t>page</t>
  </si>
  <si>
    <t>rate on CA</t>
  </si>
  <si>
    <t>5th Flr</t>
  </si>
  <si>
    <t>10.03.2023</t>
  </si>
  <si>
    <t xml:space="preserve">Agreement </t>
  </si>
  <si>
    <t>2 BHK Flat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</si>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</sst>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/>
    <xf numFmtId="1" fontId="0" fillId="0" borderId="0" xfId="0" applyNumberFormat="1" applyAlignment="1">
      <alignment horizontal="right"/>
    </xf>
    <xf numFmtId="0" fontId="14" fillId="0" borderId="0" xfId="0" applyFont="1"/>
    <xf numFmtId="3" fontId="16" fillId="2" borderId="0" xfId="0" applyNumberFormat="1" applyFont="1" applyFill="1"/>
    <xf numFmtId="3" fontId="15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0" fontId="2" fillId="2" borderId="4" xfId="0" applyFont="1" applyFill="1" applyBorder="1"/>
    <xf numFmtId="43" fontId="2" fillId="2" borderId="0" xfId="1" applyFont="1" applyFill="1"/>
    <xf numFmtId="4" fontId="0" fillId="2" borderId="0" xfId="0" applyNumberFormat="1" applyFill="1"/>
    <xf numFmtId="4" fontId="0" fillId="3" borderId="0" xfId="0" applyNumberForma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" fillId="3" borderId="0" xfId="0" applyFont="1" applyFill="1"/>
    <xf numFmtId="4" fontId="0" fillId="4" borderId="0" xfId="0" applyNumberFormat="1" applyFill="1"/>
    <xf numFmtId="0" fontId="0" fillId="4" borderId="0" xfId="0" applyFill="1"/>
    <xf numFmtId="1" fontId="0" fillId="4" borderId="0" xfId="0" applyNumberFormat="1" applyFill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871904</xdr:colOff>
      <xdr:row>36</xdr:row>
      <xdr:rowOff>161192</xdr:rowOff>
    </xdr:from>
    <xdr:to>
      <xdr:col>5</xdr:col>
      <xdr:colOff>476250</xdr:colOff>
      <xdr:row>61</xdr:row>
      <xdr:rowOff>90264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B09671-BB14-853A-321C-4A14E1CCC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8308" y="7729904"/>
          <a:ext cx="3729404" cy="4713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328100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79165F-E424-6606-551E-1B6BBC73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0119" cy="7535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8B370-8305-D73D-23B6-2403086F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6668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16</xdr:col>
      <xdr:colOff>87098</xdr:colOff>
      <xdr:row>74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4C4A7B-48C3-E366-35F4-2AC4E65CC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9840698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10</xdr:col>
      <xdr:colOff>19050</xdr:colOff>
      <xdr:row>113</xdr:row>
      <xdr:rowOff>172431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D3C9B4-671E-7618-0271-2901AF2E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668500"/>
          <a:ext cx="6115050" cy="7030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35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B06ECB-1A7E-BCF6-BD48-370EE0B9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6763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14</xdr:col>
      <xdr:colOff>563245</xdr:colOff>
      <xdr:row>75</xdr:row>
      <xdr:rowOff>124853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B283BE-272B-BF7E-3D67-69D527A4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9097645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14</xdr:col>
      <xdr:colOff>553718</xdr:colOff>
      <xdr:row>121</xdr:row>
      <xdr:rowOff>58301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D9A127-B438-178D-0972-288D40387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859000"/>
          <a:ext cx="9088118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11</xdr:col>
      <xdr:colOff>315305</xdr:colOff>
      <xdr:row>163</xdr:row>
      <xdr:rowOff>153485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6C56D-CFB3-4536-2CA1-D0751B38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431500"/>
          <a:ext cx="7020905" cy="7773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477508</xdr:colOff>
      <xdr:row>206</xdr:row>
      <xdr:rowOff>58222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9827DF-375D-A710-6904-1281E404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23000"/>
          <a:ext cx="9011908" cy="7678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11</xdr:col>
      <xdr:colOff>420094</xdr:colOff>
      <xdr:row>242</xdr:row>
      <xdr:rowOff>162825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CDB80F-F683-B387-4766-387620E7A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814500"/>
          <a:ext cx="7125694" cy="64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11</xdr:col>
      <xdr:colOff>248620</xdr:colOff>
      <xdr:row>287</xdr:row>
      <xdr:rowOff>77301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3E54D3-7FCB-6B0C-FA73-7942AABD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6863000"/>
          <a:ext cx="6954220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11</xdr:col>
      <xdr:colOff>353410</xdr:colOff>
      <xdr:row>330</xdr:row>
      <xdr:rowOff>10590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BFBCE1D-D668-7F72-D044-4AFCD1A5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245000"/>
          <a:ext cx="7059010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11</xdr:col>
      <xdr:colOff>353410</xdr:colOff>
      <xdr:row>374</xdr:row>
      <xdr:rowOff>172591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EFC7D8E-AB80-4197-15F2-EA5F1089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3246000"/>
          <a:ext cx="7059010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11</xdr:col>
      <xdr:colOff>277199</xdr:colOff>
      <xdr:row>417</xdr:row>
      <xdr:rowOff>182064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C4AE03D-30A6-C187-987E-788D21B6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1818500"/>
          <a:ext cx="6982799" cy="780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11</xdr:col>
      <xdr:colOff>315305</xdr:colOff>
      <xdr:row>465</xdr:row>
      <xdr:rowOff>48828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B848B61-1BB8-E53B-ABDE-1FC1F0AE9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010000"/>
          <a:ext cx="7020905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14</xdr:col>
      <xdr:colOff>296507</xdr:colOff>
      <xdr:row>501</xdr:row>
      <xdr:rowOff>134299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2244ACC-08AF-274B-F9C4-E108E6C5E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8773000"/>
          <a:ext cx="8830907" cy="68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14</xdr:col>
      <xdr:colOff>144086</xdr:colOff>
      <xdr:row>542</xdr:row>
      <xdr:rowOff>143932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8F6ED61-7D02-66B9-9FC0-8C3D9451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5821500"/>
          <a:ext cx="8678486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abSelected="1" topLeftCell="B1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E2" s="38"/>
      <c r="G2" s="124" t="s">
        <v>43</v>
      </c>
      <c r="H2" s="125"/>
    </row>
    <row r="3" spans="2:17" ht="15.75" thickBot="1" x14ac:dyDescent="0.3">
      <c r="B3" s="30" t="s">
        <v>33</v>
      </c>
      <c r="C3" s="32">
        <v>161640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f>C3*0.05</f>
        <v>8082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169722</v>
      </c>
      <c r="D5" s="34" t="s">
        <v>35</v>
      </c>
      <c r="E5" s="35">
        <f>ROUND(C5/10.764,0)</f>
        <v>15768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76380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93342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0.16</v>
      </c>
      <c r="D8" s="63">
        <f>1-C8</f>
        <v>0.84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78407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154787</v>
      </c>
      <c r="D10" s="34" t="s">
        <v>35</v>
      </c>
      <c r="E10" s="35">
        <f>ROUND(C10/10.764,0)</f>
        <v>14380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2025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2009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16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44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C28" zoomScale="130" zoomScaleNormal="130" workbookViewId="0">
      <selection activeCell="H33" sqref="H3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21.1406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6" t="s">
        <v>81</v>
      </c>
      <c r="D2" s="12"/>
      <c r="F2" s="5"/>
      <c r="G2" s="5"/>
      <c r="H2" s="106" t="s">
        <v>74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7">
        <f>C4+C5</f>
        <v>30800</v>
      </c>
      <c r="D3" s="14" t="s">
        <v>80</v>
      </c>
      <c r="F3" s="79" t="s">
        <v>66</v>
      </c>
      <c r="G3" s="92" t="s">
        <v>62</v>
      </c>
      <c r="H3" s="84"/>
      <c r="I3" s="81">
        <v>595</v>
      </c>
      <c r="J3" s="84"/>
      <c r="L3" t="s">
        <v>70</v>
      </c>
      <c r="M3">
        <v>571</v>
      </c>
    </row>
    <row r="4" spans="1:13" ht="30" x14ac:dyDescent="0.25">
      <c r="A4" s="15" t="s">
        <v>9</v>
      </c>
      <c r="B4" s="13"/>
      <c r="C4" s="117">
        <v>3000</v>
      </c>
      <c r="D4" s="16"/>
      <c r="F4" s="91" t="s">
        <v>84</v>
      </c>
      <c r="G4" s="92" t="s">
        <v>71</v>
      </c>
      <c r="H4" s="104">
        <v>66.36</v>
      </c>
      <c r="I4" s="81">
        <f>H4*10.764</f>
        <v>714.29903999999999</v>
      </c>
      <c r="J4" s="80"/>
      <c r="K4" s="3"/>
      <c r="L4" s="3"/>
      <c r="M4">
        <v>19</v>
      </c>
    </row>
    <row r="5" spans="1:13" x14ac:dyDescent="0.25">
      <c r="A5" s="10" t="s">
        <v>10</v>
      </c>
      <c r="B5" s="13"/>
      <c r="C5" s="117">
        <v>27800</v>
      </c>
      <c r="D5" s="16"/>
      <c r="F5" s="5"/>
      <c r="G5" s="80"/>
      <c r="H5" s="80"/>
      <c r="I5" s="81"/>
      <c r="M5">
        <v>10</v>
      </c>
    </row>
    <row r="6" spans="1:13" x14ac:dyDescent="0.25">
      <c r="A6" s="10" t="s">
        <v>11</v>
      </c>
      <c r="B6" s="13"/>
      <c r="C6" s="117">
        <f>C4</f>
        <v>3000</v>
      </c>
      <c r="D6" s="16"/>
      <c r="F6" s="5"/>
      <c r="G6" s="80"/>
      <c r="H6" s="84"/>
      <c r="I6" s="81"/>
      <c r="M6">
        <f>SUM(M3:M5)</f>
        <v>600</v>
      </c>
    </row>
    <row r="7" spans="1:13" x14ac:dyDescent="0.25">
      <c r="A7" s="10" t="s">
        <v>12</v>
      </c>
      <c r="B7" s="17"/>
      <c r="C7" s="4">
        <f>E9-E8</f>
        <v>16</v>
      </c>
      <c r="D7" s="18"/>
      <c r="E7" s="3"/>
    </row>
    <row r="8" spans="1:13" x14ac:dyDescent="0.25">
      <c r="A8" s="10" t="s">
        <v>13</v>
      </c>
      <c r="B8" s="17"/>
      <c r="C8" s="4">
        <f>C9-C7</f>
        <v>44</v>
      </c>
      <c r="D8" s="92" t="s">
        <v>85</v>
      </c>
      <c r="E8" s="92">
        <v>2009</v>
      </c>
      <c r="F8" s="5"/>
    </row>
    <row r="9" spans="1:13" x14ac:dyDescent="0.25">
      <c r="A9" s="10" t="s">
        <v>14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15</v>
      </c>
      <c r="B10" s="17"/>
      <c r="C10" s="4">
        <f>90*C7/C9</f>
        <v>24</v>
      </c>
      <c r="D10" s="4"/>
      <c r="E10" s="5"/>
      <c r="F10" s="78"/>
      <c r="G10" s="78"/>
    </row>
    <row r="11" spans="1:13" x14ac:dyDescent="0.25">
      <c r="A11" s="10"/>
      <c r="B11" s="19"/>
      <c r="C11" s="118">
        <f>C10%</f>
        <v>0.24</v>
      </c>
      <c r="D11" s="20"/>
      <c r="E11" s="3"/>
    </row>
    <row r="12" spans="1:13" x14ac:dyDescent="0.25">
      <c r="A12" s="10" t="s">
        <v>16</v>
      </c>
      <c r="B12" s="13"/>
      <c r="C12" s="117">
        <f>C6*C11</f>
        <v>720</v>
      </c>
      <c r="D12" s="16"/>
      <c r="E12" s="80"/>
    </row>
    <row r="13" spans="1:13" x14ac:dyDescent="0.25">
      <c r="A13" s="10" t="s">
        <v>17</v>
      </c>
      <c r="B13" s="13"/>
      <c r="C13" s="117">
        <f>C6-C12</f>
        <v>2280</v>
      </c>
      <c r="D13" s="16"/>
    </row>
    <row r="14" spans="1:13" x14ac:dyDescent="0.25">
      <c r="A14" s="10" t="s">
        <v>10</v>
      </c>
      <c r="B14" s="13"/>
      <c r="C14" s="117">
        <f>C5</f>
        <v>27800</v>
      </c>
      <c r="D14" s="16"/>
      <c r="F14" s="78"/>
      <c r="G14" s="78"/>
      <c r="H14" s="4"/>
    </row>
    <row r="15" spans="1:13" x14ac:dyDescent="0.25">
      <c r="B15" s="13"/>
      <c r="C15" s="117"/>
      <c r="D15" s="16"/>
      <c r="H15" s="4"/>
    </row>
    <row r="16" spans="1:13" x14ac:dyDescent="0.25">
      <c r="A16" s="21" t="s">
        <v>18</v>
      </c>
      <c r="B16" s="22"/>
      <c r="C16" s="119">
        <f>C14+C13</f>
        <v>30080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107" t="s">
        <v>62</v>
      </c>
      <c r="B18" s="5"/>
      <c r="C18" s="120">
        <v>595</v>
      </c>
      <c r="D18" s="100"/>
      <c r="E18" s="101"/>
      <c r="H18" s="103"/>
    </row>
    <row r="19" spans="1:8" x14ac:dyDescent="0.25">
      <c r="A19" s="10"/>
      <c r="B19" s="4"/>
      <c r="C19" s="121">
        <f>C18*C16</f>
        <v>17897600</v>
      </c>
      <c r="D19" t="s">
        <v>41</v>
      </c>
      <c r="E19" s="102"/>
      <c r="H19" s="4"/>
    </row>
    <row r="20" spans="1:8" x14ac:dyDescent="0.25">
      <c r="A20" s="10"/>
      <c r="B20" s="38"/>
      <c r="C20" s="121">
        <f>C19*0.9</f>
        <v>16107840</v>
      </c>
      <c r="D20" t="s">
        <v>19</v>
      </c>
      <c r="E20" s="83"/>
      <c r="F20" s="6"/>
      <c r="H20" s="78"/>
    </row>
    <row r="21" spans="1:8" x14ac:dyDescent="0.25">
      <c r="A21" s="10"/>
      <c r="C21" s="121">
        <f>C19*80%</f>
        <v>14318080</v>
      </c>
      <c r="D21" t="s">
        <v>20</v>
      </c>
      <c r="E21" s="83"/>
      <c r="F21" s="38"/>
    </row>
    <row r="22" spans="1:8" x14ac:dyDescent="0.25">
      <c r="A22" s="10"/>
      <c r="D22"/>
      <c r="E22" s="83"/>
    </row>
    <row r="23" spans="1:8" x14ac:dyDescent="0.25">
      <c r="A23" s="24" t="s">
        <v>21</v>
      </c>
      <c r="B23" s="25"/>
      <c r="C23" s="122">
        <f>C4*D23</f>
        <v>2142000</v>
      </c>
      <c r="D23" s="122">
        <f>C18*1.2</f>
        <v>714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38">
        <f>C19*0.025/12</f>
        <v>37286.666666666664</v>
      </c>
      <c r="D25" s="83"/>
      <c r="E25" s="83"/>
    </row>
    <row r="26" spans="1:8" x14ac:dyDescent="0.25">
      <c r="C26" s="38"/>
      <c r="D26" s="23"/>
      <c r="F26" s="80" t="s">
        <v>75</v>
      </c>
    </row>
    <row r="27" spans="1:8" x14ac:dyDescent="0.25">
      <c r="A27" s="5" t="s">
        <v>77</v>
      </c>
      <c r="B27" s="5"/>
      <c r="C27" s="123"/>
      <c r="D27" s="82"/>
    </row>
    <row r="28" spans="1:8" x14ac:dyDescent="0.25">
      <c r="D28" s="78"/>
    </row>
    <row r="29" spans="1:8" x14ac:dyDescent="0.25">
      <c r="A29" s="80" t="s">
        <v>83</v>
      </c>
      <c r="B29" s="80"/>
      <c r="D29"/>
      <c r="G29" s="3"/>
      <c r="H29" s="3"/>
    </row>
    <row r="30" spans="1:8" ht="18.75" x14ac:dyDescent="0.3">
      <c r="A30" s="80" t="s">
        <v>82</v>
      </c>
      <c r="B30" s="108">
        <v>11100000</v>
      </c>
      <c r="D30"/>
      <c r="E30" s="126" t="s">
        <v>76</v>
      </c>
      <c r="F30" s="126"/>
      <c r="G30" s="3"/>
      <c r="H30" s="3"/>
    </row>
    <row r="31" spans="1:8" ht="18.75" x14ac:dyDescent="0.3">
      <c r="D31"/>
      <c r="E31" s="126" t="s">
        <v>78</v>
      </c>
      <c r="F31" s="126"/>
      <c r="G31" s="3"/>
      <c r="H31" s="3"/>
    </row>
    <row r="32" spans="1:8" ht="18.75" x14ac:dyDescent="0.3">
      <c r="D32"/>
      <c r="E32" s="105" t="s">
        <v>41</v>
      </c>
      <c r="F32" s="105">
        <f>C19</f>
        <v>17897600</v>
      </c>
      <c r="G32" s="3"/>
      <c r="H32" s="3"/>
    </row>
    <row r="33" spans="1:8" ht="18.75" x14ac:dyDescent="0.3">
      <c r="D33"/>
      <c r="E33" s="105" t="s">
        <v>19</v>
      </c>
      <c r="F33" s="105">
        <f>C20</f>
        <v>16107840</v>
      </c>
      <c r="G33" s="3"/>
      <c r="H33" s="83">
        <f>F32*80</f>
        <v>1431808000</v>
      </c>
    </row>
    <row r="34" spans="1:8" ht="18.75" x14ac:dyDescent="0.3">
      <c r="D34"/>
      <c r="E34" s="105" t="s">
        <v>20</v>
      </c>
      <c r="F34" s="105">
        <f>C21</f>
        <v>14318080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54"/>
  <sheetViews>
    <sheetView zoomScaleNormal="100" workbookViewId="0">
      <selection activeCell="Q8" sqref="Q8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42578125" customWidth="1"/>
    <col min="18" max="18" width="12.85546875" customWidth="1"/>
    <col min="19" max="19" width="16.140625" customWidth="1"/>
    <col min="20" max="20" width="12.7109375" customWidth="1"/>
    <col min="21" max="21" width="10.140625" customWidth="1"/>
    <col min="22" max="22" width="17.140625" customWidth="1"/>
    <col min="23" max="23" width="13.7109375" customWidth="1"/>
    <col min="27" max="27" width="10.42578125" bestFit="1" customWidth="1"/>
    <col min="31" max="31" width="10.42578125" bestFit="1" customWidth="1"/>
  </cols>
  <sheetData>
    <row r="1" spans="1:31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T1" s="2"/>
      <c r="U1" s="2"/>
      <c r="V1" s="2"/>
      <c r="W1" s="2"/>
      <c r="X1" s="2"/>
    </row>
    <row r="2" spans="1:31" x14ac:dyDescent="0.25">
      <c r="B2">
        <v>650</v>
      </c>
      <c r="C2">
        <f>B2*1.2</f>
        <v>780</v>
      </c>
      <c r="D2" s="95">
        <f>C2*1.2</f>
        <v>936</v>
      </c>
      <c r="E2" s="95">
        <v>15500000</v>
      </c>
      <c r="F2" s="95">
        <f>E2/B2</f>
        <v>23846.153846153848</v>
      </c>
      <c r="G2" s="85">
        <f>E2/C2</f>
        <v>19871.794871794871</v>
      </c>
      <c r="H2">
        <f>E2/D2</f>
        <v>16559.829059829059</v>
      </c>
      <c r="I2">
        <v>6</v>
      </c>
      <c r="J2">
        <v>601</v>
      </c>
      <c r="O2" s="94">
        <f>P2/1.2</f>
        <v>579.1928999999999</v>
      </c>
      <c r="P2" s="95">
        <f>64.57*10.764</f>
        <v>695.03147999999987</v>
      </c>
      <c r="Q2" s="95">
        <v>13900000</v>
      </c>
      <c r="R2" s="95">
        <f t="shared" ref="R2:R3" si="0">Q2/O2</f>
        <v>23998.912970100293</v>
      </c>
      <c r="S2" s="95">
        <f>Q2/P2</f>
        <v>19999.094141750244</v>
      </c>
      <c r="T2" s="96"/>
      <c r="U2" s="3"/>
      <c r="V2" s="3"/>
      <c r="W2" s="3"/>
      <c r="X2" s="3"/>
      <c r="AA2" s="40"/>
    </row>
    <row r="3" spans="1:31" x14ac:dyDescent="0.25">
      <c r="B3" s="98">
        <v>750</v>
      </c>
      <c r="C3">
        <f t="shared" ref="C3:C9" si="1">B3*1.2</f>
        <v>900</v>
      </c>
      <c r="D3" s="95">
        <f t="shared" ref="D3:D14" si="2">C3*1.2</f>
        <v>1080</v>
      </c>
      <c r="E3" s="95">
        <v>14500000</v>
      </c>
      <c r="F3" s="95">
        <f t="shared" ref="F3:F6" si="3">E3/B3</f>
        <v>19333.333333333332</v>
      </c>
      <c r="G3" s="85">
        <f t="shared" ref="G3:G7" si="4">E3/C3</f>
        <v>16111.111111111111</v>
      </c>
      <c r="H3">
        <f t="shared" ref="H3:H12" si="5">E3/D3</f>
        <v>13425.925925925925</v>
      </c>
      <c r="I3">
        <v>2</v>
      </c>
      <c r="J3">
        <v>202</v>
      </c>
      <c r="O3" s="94">
        <f>P3/1.2</f>
        <v>496.041</v>
      </c>
      <c r="P3" s="95">
        <f>55.3*10.764</f>
        <v>595.24919999999997</v>
      </c>
      <c r="Q3" s="95">
        <v>12000000</v>
      </c>
      <c r="R3" s="95">
        <f t="shared" si="0"/>
        <v>24191.548682467779</v>
      </c>
      <c r="S3" s="95">
        <f>Q3/P3</f>
        <v>20159.623902056483</v>
      </c>
      <c r="T3" s="96"/>
      <c r="U3" s="3"/>
      <c r="V3" s="3"/>
      <c r="W3" s="3"/>
      <c r="X3" s="3"/>
      <c r="AE3" s="40"/>
    </row>
    <row r="4" spans="1:31" x14ac:dyDescent="0.25">
      <c r="B4" s="78">
        <v>620</v>
      </c>
      <c r="C4">
        <f t="shared" si="1"/>
        <v>744</v>
      </c>
      <c r="D4" s="95">
        <f t="shared" si="2"/>
        <v>892.8</v>
      </c>
      <c r="E4" s="95">
        <v>14600000</v>
      </c>
      <c r="F4" s="95">
        <f t="shared" si="3"/>
        <v>23548.387096774193</v>
      </c>
      <c r="G4" s="85">
        <f t="shared" si="4"/>
        <v>19623.655913978495</v>
      </c>
      <c r="H4">
        <f t="shared" si="5"/>
        <v>16353.046594982079</v>
      </c>
      <c r="I4">
        <v>8</v>
      </c>
      <c r="J4">
        <v>803</v>
      </c>
      <c r="O4" s="94">
        <f>P4/1.2</f>
        <v>644.22539999999992</v>
      </c>
      <c r="P4" s="95">
        <f>71.82*10.764</f>
        <v>773.07047999999986</v>
      </c>
      <c r="Q4" s="95">
        <v>13500000</v>
      </c>
      <c r="R4" s="95">
        <f>Q4/O4</f>
        <v>20955.398529769242</v>
      </c>
      <c r="S4" s="95">
        <f>Q4/P4</f>
        <v>17462.832108141036</v>
      </c>
      <c r="T4" s="96"/>
      <c r="U4" s="3"/>
      <c r="V4" s="3"/>
      <c r="W4" s="3"/>
      <c r="X4" s="3"/>
    </row>
    <row r="5" spans="1:31" x14ac:dyDescent="0.25">
      <c r="B5" s="78">
        <f>C5/1.2</f>
        <v>659.72222222222229</v>
      </c>
      <c r="C5">
        <f>D5/1.2</f>
        <v>791.66666666666674</v>
      </c>
      <c r="D5" s="95">
        <v>950</v>
      </c>
      <c r="E5" s="95">
        <v>14500000</v>
      </c>
      <c r="F5" s="95">
        <f t="shared" si="3"/>
        <v>21978.94736842105</v>
      </c>
      <c r="G5" s="85">
        <f t="shared" si="4"/>
        <v>18315.78947368421</v>
      </c>
      <c r="H5">
        <f t="shared" si="5"/>
        <v>15263.157894736842</v>
      </c>
      <c r="I5">
        <v>4</v>
      </c>
      <c r="J5">
        <v>401</v>
      </c>
      <c r="O5" s="94">
        <f>P5/1.2</f>
        <v>416.02860000000004</v>
      </c>
      <c r="P5" s="95">
        <f>46.38*10.764</f>
        <v>499.23432000000003</v>
      </c>
      <c r="Q5" s="95">
        <v>10000000</v>
      </c>
      <c r="R5" s="95">
        <f>Q5/O5</f>
        <v>24036.809007842247</v>
      </c>
      <c r="S5" s="95">
        <f>Q5/P5</f>
        <v>20030.674173201875</v>
      </c>
      <c r="T5" s="96"/>
      <c r="U5" s="3"/>
      <c r="V5" s="3"/>
      <c r="W5" s="3"/>
      <c r="X5" s="3"/>
    </row>
    <row r="6" spans="1:31" x14ac:dyDescent="0.25">
      <c r="B6">
        <v>600</v>
      </c>
      <c r="C6">
        <f t="shared" si="1"/>
        <v>720</v>
      </c>
      <c r="D6" s="95">
        <f t="shared" si="2"/>
        <v>864</v>
      </c>
      <c r="E6" s="95">
        <v>14500000</v>
      </c>
      <c r="F6" s="95">
        <f t="shared" si="3"/>
        <v>24166.666666666668</v>
      </c>
      <c r="G6" s="85">
        <f t="shared" si="4"/>
        <v>20138.888888888891</v>
      </c>
      <c r="H6">
        <f t="shared" si="5"/>
        <v>16782.407407407409</v>
      </c>
      <c r="I6">
        <v>7</v>
      </c>
      <c r="J6">
        <v>702</v>
      </c>
      <c r="O6" s="94">
        <f>P6/1.2</f>
        <v>413.4273</v>
      </c>
      <c r="P6" s="95">
        <f>46.09*10.764</f>
        <v>496.11275999999998</v>
      </c>
      <c r="Q6" s="95">
        <v>11000000</v>
      </c>
      <c r="R6" s="114">
        <f>Q6/O6</f>
        <v>26606.854457845431</v>
      </c>
      <c r="S6" s="114">
        <f>Q6/P6</f>
        <v>22172.378714871193</v>
      </c>
      <c r="T6" s="114">
        <v>660000</v>
      </c>
      <c r="U6" s="115">
        <v>30000</v>
      </c>
      <c r="V6" s="114">
        <f t="shared" ref="V6:V16" si="6">Q6+T6+U6</f>
        <v>11690000</v>
      </c>
      <c r="W6" s="116">
        <f t="shared" ref="W6:W16" si="7">V6/O6</f>
        <v>28275.829873837552</v>
      </c>
      <c r="X6" s="3"/>
    </row>
    <row r="7" spans="1:31" x14ac:dyDescent="0.25">
      <c r="B7">
        <v>450</v>
      </c>
      <c r="C7">
        <f t="shared" si="1"/>
        <v>540</v>
      </c>
      <c r="D7" s="95">
        <f t="shared" si="2"/>
        <v>648</v>
      </c>
      <c r="E7" s="95">
        <v>8700000</v>
      </c>
      <c r="F7" s="95">
        <f t="shared" ref="F7:F13" si="8">ROUND((E7/B7),0)</f>
        <v>19333</v>
      </c>
      <c r="G7" s="85">
        <f t="shared" si="4"/>
        <v>16111.111111111111</v>
      </c>
      <c r="H7">
        <f t="shared" si="5"/>
        <v>13425.925925925925</v>
      </c>
      <c r="I7">
        <v>17</v>
      </c>
      <c r="J7">
        <v>1703</v>
      </c>
      <c r="O7" s="95">
        <v>990</v>
      </c>
      <c r="P7" s="95">
        <f>110.4*10.764</f>
        <v>1188.3455999999999</v>
      </c>
      <c r="Q7" s="95">
        <v>27800000</v>
      </c>
      <c r="R7" s="110">
        <f t="shared" ref="R7:R14" si="9">Q7/O7</f>
        <v>28080.808080808081</v>
      </c>
      <c r="S7" s="110">
        <f t="shared" ref="S7:S9" si="10">Q7/P7</f>
        <v>23393.867911826328</v>
      </c>
      <c r="T7" s="112">
        <v>1668000</v>
      </c>
      <c r="U7" s="113">
        <v>30000</v>
      </c>
      <c r="V7" s="112">
        <f t="shared" si="6"/>
        <v>29498000</v>
      </c>
      <c r="W7" s="111">
        <f t="shared" si="7"/>
        <v>29795.959595959597</v>
      </c>
      <c r="X7" s="3"/>
    </row>
    <row r="8" spans="1:31" x14ac:dyDescent="0.25">
      <c r="B8">
        <v>579</v>
      </c>
      <c r="C8">
        <f t="shared" si="1"/>
        <v>694.8</v>
      </c>
      <c r="D8" s="95">
        <f t="shared" si="2"/>
        <v>833.75999999999988</v>
      </c>
      <c r="E8" s="95">
        <v>13800000</v>
      </c>
      <c r="F8" s="95">
        <f t="shared" si="8"/>
        <v>23834</v>
      </c>
      <c r="G8" s="85">
        <f t="shared" ref="G8:G9" si="11">F8/C8</f>
        <v>34.30339666090962</v>
      </c>
      <c r="H8">
        <f t="shared" si="5"/>
        <v>16551.525618883134</v>
      </c>
      <c r="I8">
        <v>12</v>
      </c>
      <c r="J8">
        <v>1205</v>
      </c>
      <c r="O8" s="95">
        <f>P8/1.2</f>
        <v>374.40780000000001</v>
      </c>
      <c r="P8" s="95">
        <f>41.74*10.764</f>
        <v>449.28935999999999</v>
      </c>
      <c r="Q8" s="95">
        <v>12500000</v>
      </c>
      <c r="R8" s="114">
        <f t="shared" si="9"/>
        <v>33386.056593906433</v>
      </c>
      <c r="S8" s="114">
        <f t="shared" si="10"/>
        <v>27821.713828255361</v>
      </c>
      <c r="T8" s="114">
        <v>625000</v>
      </c>
      <c r="U8" s="115">
        <v>30000</v>
      </c>
      <c r="V8" s="114">
        <f t="shared" si="6"/>
        <v>13155000</v>
      </c>
      <c r="W8" s="116">
        <f t="shared" si="7"/>
        <v>35135.485959427126</v>
      </c>
      <c r="X8" s="3"/>
    </row>
    <row r="9" spans="1:31" x14ac:dyDescent="0.25">
      <c r="B9">
        <v>601</v>
      </c>
      <c r="C9">
        <f t="shared" si="1"/>
        <v>721.19999999999993</v>
      </c>
      <c r="D9" s="95">
        <f t="shared" si="2"/>
        <v>865.43999999999994</v>
      </c>
      <c r="E9" s="95">
        <v>15500000</v>
      </c>
      <c r="F9" s="95">
        <f t="shared" si="8"/>
        <v>25790</v>
      </c>
      <c r="G9" s="85">
        <f t="shared" si="11"/>
        <v>35.759844703272329</v>
      </c>
      <c r="H9">
        <f t="shared" si="5"/>
        <v>17909.964873359218</v>
      </c>
      <c r="I9">
        <v>18</v>
      </c>
      <c r="J9">
        <v>1804</v>
      </c>
      <c r="O9" s="95">
        <f>P9/1.2</f>
        <v>563.31599999999992</v>
      </c>
      <c r="P9" s="95">
        <f>62.8*10.764</f>
        <v>675.97919999999988</v>
      </c>
      <c r="Q9" s="95">
        <v>15100000</v>
      </c>
      <c r="R9" s="110">
        <f t="shared" si="9"/>
        <v>26805.558514226475</v>
      </c>
      <c r="S9" s="110">
        <f t="shared" si="10"/>
        <v>22337.965428522064</v>
      </c>
      <c r="T9" s="113">
        <v>906000</v>
      </c>
      <c r="U9" s="113">
        <v>30000</v>
      </c>
      <c r="V9" s="112">
        <f t="shared" si="6"/>
        <v>16036000</v>
      </c>
      <c r="W9" s="111">
        <f t="shared" si="7"/>
        <v>28467.148101598395</v>
      </c>
      <c r="X9" s="3"/>
    </row>
    <row r="10" spans="1:31" ht="16.5" x14ac:dyDescent="0.3">
      <c r="B10">
        <v>610</v>
      </c>
      <c r="C10">
        <f t="shared" ref="C10" si="12">B10*1.2</f>
        <v>732</v>
      </c>
      <c r="D10" s="95">
        <f t="shared" si="2"/>
        <v>878.4</v>
      </c>
      <c r="E10" s="95">
        <v>16500000</v>
      </c>
      <c r="F10" s="95">
        <f t="shared" si="8"/>
        <v>27049</v>
      </c>
      <c r="G10">
        <f t="shared" ref="G10:G13" si="13">ROUND((E10/C10),0)</f>
        <v>22541</v>
      </c>
      <c r="H10">
        <f t="shared" si="5"/>
        <v>18784.153005464483</v>
      </c>
      <c r="O10" s="95"/>
      <c r="P10" s="95" t="e">
        <f>#REF!*1.1</f>
        <v>#REF!</v>
      </c>
      <c r="Q10" s="95"/>
      <c r="R10" s="95" t="e">
        <f t="shared" si="9"/>
        <v>#DIV/0!</v>
      </c>
      <c r="S10" s="95"/>
      <c r="T10" s="3"/>
      <c r="U10" s="3"/>
      <c r="V10" s="96">
        <f t="shared" si="6"/>
        <v>0</v>
      </c>
      <c r="W10" s="3" t="e">
        <f t="shared" si="7"/>
        <v>#DIV/0!</v>
      </c>
      <c r="X10" s="97"/>
      <c r="Y10" s="29"/>
      <c r="Z10" s="29"/>
      <c r="AA10" s="29"/>
      <c r="AB10" s="29"/>
      <c r="AC10" s="29"/>
    </row>
    <row r="11" spans="1:31" x14ac:dyDescent="0.25">
      <c r="B11">
        <v>547</v>
      </c>
      <c r="C11">
        <f>B11*1.2</f>
        <v>656.4</v>
      </c>
      <c r="D11" s="95">
        <f>C11*1.2</f>
        <v>787.68</v>
      </c>
      <c r="E11" s="109">
        <v>16500000</v>
      </c>
      <c r="F11" s="5">
        <f t="shared" si="8"/>
        <v>30165</v>
      </c>
      <c r="G11">
        <f t="shared" si="13"/>
        <v>25137</v>
      </c>
      <c r="H11">
        <f t="shared" si="5"/>
        <v>20947.592931139552</v>
      </c>
      <c r="I11">
        <f t="shared" ref="I11:I13" si="14">T11</f>
        <v>0</v>
      </c>
      <c r="J11">
        <f t="shared" ref="J11:J13" si="15">U11</f>
        <v>0</v>
      </c>
      <c r="P11" s="95" t="e">
        <f>#REF!*1.1</f>
        <v>#REF!</v>
      </c>
      <c r="Q11" s="95"/>
      <c r="R11" s="95" t="e">
        <f t="shared" si="9"/>
        <v>#DIV/0!</v>
      </c>
      <c r="S11" s="95"/>
      <c r="T11" s="3"/>
      <c r="U11" s="3"/>
      <c r="V11" s="96">
        <f t="shared" si="6"/>
        <v>0</v>
      </c>
      <c r="W11" s="3" t="e">
        <f t="shared" si="7"/>
        <v>#DIV/0!</v>
      </c>
      <c r="X11" s="3"/>
    </row>
    <row r="12" spans="1:31" x14ac:dyDescent="0.25">
      <c r="B12">
        <v>650</v>
      </c>
      <c r="C12">
        <f t="shared" ref="C12:C13" si="16">B12*1.1</f>
        <v>715.00000000000011</v>
      </c>
      <c r="D12" s="95">
        <f t="shared" si="2"/>
        <v>858.00000000000011</v>
      </c>
      <c r="E12" s="95">
        <v>18000000</v>
      </c>
      <c r="F12">
        <f t="shared" si="8"/>
        <v>27692</v>
      </c>
      <c r="G12">
        <f t="shared" si="13"/>
        <v>25175</v>
      </c>
      <c r="H12">
        <f t="shared" si="5"/>
        <v>20979.020979020977</v>
      </c>
      <c r="I12">
        <f t="shared" si="14"/>
        <v>0</v>
      </c>
      <c r="J12">
        <f t="shared" si="15"/>
        <v>0</v>
      </c>
      <c r="R12" s="95" t="e">
        <f t="shared" si="9"/>
        <v>#DIV/0!</v>
      </c>
      <c r="S12" s="95"/>
      <c r="T12" s="3"/>
      <c r="U12" s="3"/>
      <c r="V12" s="96">
        <f t="shared" si="6"/>
        <v>0</v>
      </c>
      <c r="W12" s="3" t="e">
        <f t="shared" si="7"/>
        <v>#DIV/0!</v>
      </c>
      <c r="X12" s="3"/>
    </row>
    <row r="13" spans="1:31" x14ac:dyDescent="0.25">
      <c r="B13">
        <v>700</v>
      </c>
      <c r="C13">
        <f t="shared" si="16"/>
        <v>770.00000000000011</v>
      </c>
      <c r="D13" s="95">
        <f t="shared" si="2"/>
        <v>924.00000000000011</v>
      </c>
      <c r="E13" s="95">
        <v>19000000</v>
      </c>
      <c r="F13">
        <f t="shared" si="8"/>
        <v>27143</v>
      </c>
      <c r="G13">
        <f t="shared" si="13"/>
        <v>24675</v>
      </c>
      <c r="H13">
        <f t="shared" ref="H13" si="17">ROUND((E13/D13),0)</f>
        <v>20563</v>
      </c>
      <c r="I13">
        <f t="shared" si="14"/>
        <v>0</v>
      </c>
      <c r="J13">
        <f t="shared" si="15"/>
        <v>0</v>
      </c>
      <c r="R13" s="95" t="e">
        <f t="shared" si="9"/>
        <v>#DIV/0!</v>
      </c>
      <c r="S13" s="95"/>
      <c r="T13" s="3"/>
      <c r="U13" s="3"/>
      <c r="V13" s="96">
        <f t="shared" si="6"/>
        <v>0</v>
      </c>
      <c r="W13" s="3" t="e">
        <f t="shared" si="7"/>
        <v>#DIV/0!</v>
      </c>
      <c r="X13" s="3"/>
    </row>
    <row r="14" spans="1:31" x14ac:dyDescent="0.25">
      <c r="B14">
        <v>750</v>
      </c>
      <c r="C14">
        <f t="shared" ref="C14" si="18">B14*1.2</f>
        <v>900</v>
      </c>
      <c r="D14" s="95">
        <f t="shared" si="2"/>
        <v>1080</v>
      </c>
      <c r="E14" s="109">
        <v>22500000</v>
      </c>
      <c r="F14" s="5">
        <f t="shared" ref="F14:F17" si="19">ROUND((E14/B14),0)</f>
        <v>30000</v>
      </c>
      <c r="G14">
        <f t="shared" ref="G14:G17" si="20">ROUND((E14/C14),0)</f>
        <v>25000</v>
      </c>
      <c r="H14">
        <f t="shared" ref="H14:H17" si="21">ROUND((E14/D14),0)</f>
        <v>20833</v>
      </c>
      <c r="I14">
        <f t="shared" ref="I14:J17" si="22">T14</f>
        <v>0</v>
      </c>
      <c r="J14">
        <f t="shared" si="22"/>
        <v>0</v>
      </c>
      <c r="R14" s="95" t="e">
        <f t="shared" si="9"/>
        <v>#DIV/0!</v>
      </c>
      <c r="S14" s="95"/>
      <c r="T14" s="3"/>
      <c r="U14" s="3"/>
      <c r="V14" s="96">
        <f t="shared" si="6"/>
        <v>0</v>
      </c>
      <c r="W14" s="3" t="e">
        <f t="shared" si="7"/>
        <v>#DIV/0!</v>
      </c>
      <c r="X14" s="3"/>
    </row>
    <row r="15" spans="1:31" x14ac:dyDescent="0.25">
      <c r="B15">
        <v>600</v>
      </c>
      <c r="C15">
        <f t="shared" ref="C15:C17" si="23">B15*1.2</f>
        <v>720</v>
      </c>
      <c r="D15">
        <f t="shared" ref="D15:D17" si="24">C15*1.2</f>
        <v>864</v>
      </c>
      <c r="E15" s="95">
        <v>18000000</v>
      </c>
      <c r="F15">
        <f t="shared" si="19"/>
        <v>30000</v>
      </c>
      <c r="G15">
        <f t="shared" si="20"/>
        <v>25000</v>
      </c>
      <c r="H15">
        <f t="shared" si="21"/>
        <v>20833</v>
      </c>
      <c r="I15">
        <f t="shared" si="22"/>
        <v>0</v>
      </c>
      <c r="J15">
        <f t="shared" si="22"/>
        <v>0</v>
      </c>
      <c r="S15" s="95"/>
      <c r="V15" s="96">
        <f t="shared" si="6"/>
        <v>0</v>
      </c>
      <c r="W15" s="3" t="e">
        <f t="shared" si="7"/>
        <v>#DIV/0!</v>
      </c>
    </row>
    <row r="16" spans="1:31" x14ac:dyDescent="0.25">
      <c r="B16">
        <v>403</v>
      </c>
      <c r="C16">
        <f t="shared" si="23"/>
        <v>483.59999999999997</v>
      </c>
      <c r="D16">
        <f t="shared" si="24"/>
        <v>580.31999999999994</v>
      </c>
      <c r="E16" s="109">
        <v>12000000</v>
      </c>
      <c r="F16" s="5">
        <f t="shared" si="19"/>
        <v>29777</v>
      </c>
      <c r="G16">
        <f t="shared" si="20"/>
        <v>24814</v>
      </c>
      <c r="H16">
        <f t="shared" si="21"/>
        <v>20678</v>
      </c>
      <c r="I16">
        <f t="shared" si="22"/>
        <v>0</v>
      </c>
      <c r="J16">
        <f t="shared" si="22"/>
        <v>0</v>
      </c>
      <c r="S16" s="95"/>
      <c r="V16" s="96">
        <f t="shared" si="6"/>
        <v>0</v>
      </c>
      <c r="W16" s="3" t="e">
        <f t="shared" si="7"/>
        <v>#DIV/0!</v>
      </c>
    </row>
    <row r="17" spans="1:24" x14ac:dyDescent="0.25">
      <c r="B17">
        <f t="shared" ref="B17" si="25">O17</f>
        <v>0</v>
      </c>
      <c r="C17">
        <f t="shared" si="23"/>
        <v>0</v>
      </c>
      <c r="D17">
        <f t="shared" si="24"/>
        <v>0</v>
      </c>
      <c r="E17" s="95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95"/>
    </row>
    <row r="18" spans="1:24" s="6" customFormat="1" x14ac:dyDescent="0.2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</row>
    <row r="19" spans="1:24" s="6" customFormat="1" ht="16.5" x14ac:dyDescent="0.3">
      <c r="A19" s="85"/>
      <c r="B19" s="85"/>
      <c r="C19" s="85"/>
      <c r="D19" s="85"/>
      <c r="E19" s="85"/>
      <c r="F19" s="29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</row>
    <row r="20" spans="1:24" s="6" customFormat="1" x14ac:dyDescent="0.25">
      <c r="A20" s="85"/>
      <c r="B20" s="86"/>
      <c r="C20" s="86"/>
      <c r="D20" s="86"/>
      <c r="E20" s="86"/>
      <c r="F20" s="87" t="s">
        <v>63</v>
      </c>
      <c r="G20" s="86"/>
      <c r="H20" s="86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</row>
    <row r="21" spans="1:24" s="6" customFormat="1" ht="16.5" x14ac:dyDescent="0.3">
      <c r="A21" s="85"/>
      <c r="B21" s="86"/>
      <c r="C21" s="86" t="s">
        <v>61</v>
      </c>
      <c r="D21" s="86"/>
      <c r="E21" s="99"/>
      <c r="F21" s="88" t="s">
        <v>62</v>
      </c>
      <c r="G21" s="88">
        <v>394</v>
      </c>
      <c r="H21" s="86"/>
      <c r="I21" s="85">
        <f>G21*9500</f>
        <v>3743000</v>
      </c>
      <c r="J21" s="85"/>
      <c r="K21" s="85"/>
      <c r="L21" s="85"/>
      <c r="M21" s="85"/>
      <c r="N21" s="85"/>
      <c r="O21" s="85"/>
    </row>
    <row r="22" spans="1:24" s="6" customFormat="1" x14ac:dyDescent="0.25">
      <c r="A22" s="85"/>
      <c r="B22" s="86"/>
      <c r="C22" s="86" t="s">
        <v>1</v>
      </c>
      <c r="D22" s="86">
        <v>7100000</v>
      </c>
      <c r="E22" s="86"/>
      <c r="F22" s="88" t="s">
        <v>58</v>
      </c>
      <c r="G22" s="88">
        <v>0</v>
      </c>
      <c r="H22" s="86"/>
      <c r="I22" s="85"/>
      <c r="J22" s="85"/>
      <c r="K22" s="85"/>
      <c r="L22" s="85"/>
      <c r="M22" s="85"/>
      <c r="N22" s="85"/>
      <c r="O22" s="85"/>
    </row>
    <row r="23" spans="1:24" s="6" customFormat="1" x14ac:dyDescent="0.25">
      <c r="A23" s="85"/>
      <c r="B23" s="86"/>
      <c r="C23" s="86"/>
      <c r="D23" s="86"/>
      <c r="E23" s="86"/>
      <c r="F23" s="88" t="s">
        <v>64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4" s="6" customFormat="1" x14ac:dyDescent="0.25">
      <c r="B24" s="86"/>
      <c r="C24" s="86"/>
      <c r="D24" s="86"/>
      <c r="E24" s="86"/>
      <c r="F24" s="89" t="s">
        <v>65</v>
      </c>
      <c r="G24" s="89">
        <f>G21+G22+G23</f>
        <v>394</v>
      </c>
      <c r="H24" s="86"/>
      <c r="I24" s="85"/>
      <c r="J24" s="85"/>
      <c r="K24" s="85"/>
      <c r="L24" s="85"/>
      <c r="M24" s="85"/>
    </row>
    <row r="25" spans="1:24" s="6" customFormat="1" x14ac:dyDescent="0.25">
      <c r="B25" s="86"/>
      <c r="C25" s="86"/>
      <c r="D25" s="86"/>
      <c r="E25" s="86"/>
      <c r="F25" s="88"/>
      <c r="G25" s="88"/>
      <c r="H25" s="86"/>
      <c r="I25" s="85"/>
      <c r="J25" s="85"/>
      <c r="K25" s="85"/>
      <c r="L25" s="85"/>
      <c r="M25" s="85"/>
    </row>
    <row r="26" spans="1:24" s="6" customFormat="1" x14ac:dyDescent="0.25">
      <c r="B26" s="86"/>
      <c r="C26" s="86"/>
      <c r="D26" s="86"/>
      <c r="E26" s="86"/>
      <c r="F26" s="88" t="s">
        <v>57</v>
      </c>
      <c r="G26" s="88">
        <v>0</v>
      </c>
      <c r="H26" s="86"/>
      <c r="I26" s="85" t="e">
        <f>G32/G26</f>
        <v>#DIV/0!</v>
      </c>
      <c r="J26" s="85"/>
      <c r="K26" s="85"/>
      <c r="L26" s="85"/>
      <c r="M26" s="85"/>
    </row>
    <row r="27" spans="1:24" s="6" customFormat="1" x14ac:dyDescent="0.25">
      <c r="B27" s="86"/>
      <c r="C27" s="86"/>
      <c r="D27" s="86"/>
      <c r="E27" s="86"/>
      <c r="F27" s="88" t="s">
        <v>58</v>
      </c>
      <c r="G27" s="88">
        <v>0</v>
      </c>
      <c r="H27" s="86"/>
      <c r="I27" s="85"/>
      <c r="J27" s="85"/>
      <c r="K27" s="85"/>
      <c r="L27" s="85"/>
      <c r="M27" s="85"/>
    </row>
    <row r="28" spans="1:24" s="6" customFormat="1" x14ac:dyDescent="0.25">
      <c r="B28" s="86"/>
      <c r="C28" s="86"/>
      <c r="D28" s="86"/>
      <c r="E28" s="86"/>
      <c r="F28" s="88" t="s">
        <v>56</v>
      </c>
      <c r="G28" s="88">
        <v>0</v>
      </c>
      <c r="H28" s="86"/>
      <c r="I28" s="85"/>
      <c r="J28" s="85"/>
      <c r="K28" s="85"/>
      <c r="L28" s="85"/>
      <c r="M28" s="85"/>
    </row>
    <row r="29" spans="1:24" s="6" customFormat="1" x14ac:dyDescent="0.25">
      <c r="B29" s="86"/>
      <c r="C29" s="90"/>
      <c r="D29" s="90"/>
      <c r="E29" s="86"/>
      <c r="F29" s="89" t="s">
        <v>59</v>
      </c>
      <c r="G29" s="89">
        <f>SUM(G26:G28)</f>
        <v>0</v>
      </c>
      <c r="H29" s="86"/>
      <c r="I29" s="85" t="e">
        <f>I21/G29</f>
        <v>#DIV/0!</v>
      </c>
      <c r="J29" s="85"/>
      <c r="K29" s="85"/>
      <c r="L29" s="85"/>
      <c r="M29" s="85"/>
      <c r="O29" s="41"/>
      <c r="P29" s="41"/>
      <c r="Q29" s="41"/>
      <c r="R29" s="41"/>
    </row>
    <row r="30" spans="1:24" s="6" customFormat="1" x14ac:dyDescent="0.25">
      <c r="B30" s="86"/>
      <c r="C30" s="90"/>
      <c r="D30" s="90"/>
      <c r="E30" s="86"/>
      <c r="F30" s="89" t="s">
        <v>60</v>
      </c>
      <c r="G30" s="88">
        <f>G29</f>
        <v>0</v>
      </c>
      <c r="H30" s="86" t="e">
        <f>G29/G30</f>
        <v>#DIV/0!</v>
      </c>
      <c r="I30" s="85" t="s">
        <v>42</v>
      </c>
      <c r="J30" s="85"/>
      <c r="K30" s="85"/>
      <c r="L30" s="85"/>
      <c r="M30" s="85"/>
    </row>
    <row r="31" spans="1:24" s="6" customFormat="1" x14ac:dyDescent="0.25">
      <c r="B31" s="86"/>
      <c r="C31" s="90"/>
      <c r="D31" s="90"/>
      <c r="E31" s="86"/>
      <c r="F31" s="88" t="s">
        <v>40</v>
      </c>
      <c r="G31" s="88">
        <v>10000</v>
      </c>
      <c r="H31" s="86"/>
      <c r="I31" s="85"/>
      <c r="J31" s="85"/>
      <c r="K31" s="85"/>
      <c r="L31" s="85"/>
      <c r="M31" s="85"/>
    </row>
    <row r="32" spans="1:24" s="6" customFormat="1" x14ac:dyDescent="0.25">
      <c r="B32" s="86"/>
      <c r="C32" s="90"/>
      <c r="D32" s="90"/>
      <c r="E32" s="86"/>
      <c r="F32" s="89" t="s">
        <v>41</v>
      </c>
      <c r="G32" s="89">
        <f>G24*G31</f>
        <v>3940000</v>
      </c>
      <c r="H32" s="86" t="e">
        <f>G32/D26</f>
        <v>#DIV/0!</v>
      </c>
      <c r="I32" s="85"/>
      <c r="J32" s="85"/>
      <c r="K32" s="85"/>
      <c r="L32" s="85"/>
      <c r="M32" s="85"/>
    </row>
    <row r="33" spans="2:20" s="6" customFormat="1" x14ac:dyDescent="0.25">
      <c r="B33" s="86"/>
      <c r="C33" s="90"/>
      <c r="D33" s="90"/>
      <c r="E33" s="86"/>
      <c r="F33" s="89" t="s">
        <v>19</v>
      </c>
      <c r="G33" s="89">
        <f>G32*90%</f>
        <v>3546000</v>
      </c>
      <c r="H33" s="86"/>
      <c r="I33" s="85"/>
      <c r="J33" s="85"/>
      <c r="K33" s="85"/>
      <c r="L33" s="85"/>
      <c r="M33" s="85"/>
    </row>
    <row r="34" spans="2:20" s="6" customFormat="1" x14ac:dyDescent="0.25">
      <c r="B34" s="86"/>
      <c r="C34" s="90"/>
      <c r="D34" s="90"/>
      <c r="E34" s="86"/>
      <c r="F34" s="89" t="s">
        <v>20</v>
      </c>
      <c r="G34" s="89">
        <f>G32*80%</f>
        <v>3152000</v>
      </c>
      <c r="H34" s="86"/>
      <c r="I34" s="85"/>
      <c r="J34" s="85"/>
      <c r="K34" s="85"/>
      <c r="L34" s="85"/>
      <c r="M34" s="85"/>
    </row>
    <row r="35" spans="2:20" x14ac:dyDescent="0.25">
      <c r="B35" s="90"/>
      <c r="C35" s="90"/>
      <c r="D35" s="90"/>
      <c r="E35" s="90"/>
      <c r="F35" s="90"/>
      <c r="G35" s="90"/>
      <c r="H35" s="90"/>
    </row>
    <row r="36" spans="2:20" x14ac:dyDescent="0.25">
      <c r="B36" s="90"/>
      <c r="C36" s="90"/>
      <c r="D36" s="90"/>
      <c r="E36" s="90"/>
      <c r="F36" s="90"/>
      <c r="G36" s="90"/>
      <c r="H36" s="90"/>
      <c r="N36" s="6"/>
      <c r="O36" s="6"/>
      <c r="P36" s="6"/>
      <c r="Q36" s="6"/>
      <c r="R36" s="6"/>
      <c r="S36" s="6"/>
      <c r="T36" s="6"/>
    </row>
    <row r="37" spans="2:20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</row>
    <row r="38" spans="2:20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</row>
    <row r="39" spans="2:20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</row>
    <row r="40" spans="2:20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</row>
    <row r="41" spans="2:20" x14ac:dyDescent="0.25">
      <c r="B41" s="90"/>
      <c r="C41" s="90"/>
      <c r="D41" s="90"/>
      <c r="E41" s="90"/>
      <c r="F41" s="90"/>
      <c r="G41" s="90"/>
      <c r="H41" s="90"/>
      <c r="N41" s="6"/>
      <c r="O41" s="41"/>
      <c r="P41" s="41"/>
      <c r="Q41" s="41"/>
      <c r="R41" s="41"/>
      <c r="S41" s="6"/>
      <c r="T41" s="6"/>
    </row>
    <row r="42" spans="2:20" x14ac:dyDescent="0.25">
      <c r="B42" s="90"/>
      <c r="C42" s="90"/>
      <c r="D42" s="90"/>
      <c r="E42" s="90"/>
      <c r="F42" s="90"/>
      <c r="G42" s="90"/>
      <c r="H42" s="90"/>
      <c r="N42" s="6"/>
      <c r="O42" s="6"/>
      <c r="P42" s="6"/>
      <c r="Q42" s="6"/>
      <c r="R42" s="6"/>
      <c r="S42" s="6"/>
      <c r="T42" s="6"/>
    </row>
    <row r="43" spans="2:20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</row>
    <row r="44" spans="2:20" x14ac:dyDescent="0.25">
      <c r="N44" s="6"/>
      <c r="O44" s="6"/>
      <c r="P44" s="6"/>
      <c r="Q44" s="6"/>
      <c r="R44" s="6"/>
      <c r="S44" s="6"/>
      <c r="T44" s="6"/>
    </row>
    <row r="47" spans="2:20" x14ac:dyDescent="0.25">
      <c r="N47" s="6"/>
      <c r="O47" s="6"/>
      <c r="P47" s="6"/>
      <c r="Q47" s="6"/>
      <c r="R47" s="6"/>
      <c r="S47" s="6"/>
      <c r="T47" s="6"/>
    </row>
    <row r="48" spans="2:20" x14ac:dyDescent="0.25">
      <c r="N48" s="6"/>
      <c r="O48" s="6"/>
      <c r="P48" s="6"/>
      <c r="Q48" s="6"/>
      <c r="R48" s="6"/>
      <c r="S48" s="6"/>
      <c r="T48" s="6"/>
    </row>
    <row r="49" spans="14:20" x14ac:dyDescent="0.25">
      <c r="N49" s="6"/>
      <c r="O49" s="6"/>
      <c r="P49" s="6"/>
      <c r="Q49" s="6"/>
      <c r="R49" s="6"/>
      <c r="S49" s="6"/>
      <c r="T49" s="6"/>
    </row>
    <row r="50" spans="14:20" x14ac:dyDescent="0.25">
      <c r="N50" s="6"/>
      <c r="O50" s="6"/>
      <c r="P50" s="6"/>
      <c r="Q50" s="6"/>
      <c r="R50" s="6"/>
      <c r="S50" s="6"/>
      <c r="T50" s="6"/>
    </row>
    <row r="51" spans="14:20" x14ac:dyDescent="0.25">
      <c r="N51" s="6"/>
      <c r="O51" s="41"/>
      <c r="P51" s="41"/>
      <c r="Q51" s="41"/>
      <c r="R51" s="41"/>
      <c r="S51" s="6"/>
      <c r="T51" s="6"/>
    </row>
    <row r="52" spans="14:20" x14ac:dyDescent="0.25">
      <c r="N52" s="6"/>
      <c r="O52" s="6"/>
      <c r="P52" s="6"/>
      <c r="Q52" s="6"/>
      <c r="R52" s="6"/>
      <c r="S52" s="6"/>
      <c r="T52" s="6"/>
    </row>
    <row r="53" spans="14:20" x14ac:dyDescent="0.25">
      <c r="N53" s="6"/>
      <c r="O53" s="6"/>
      <c r="P53" s="6"/>
      <c r="Q53" s="6"/>
      <c r="R53" s="6"/>
      <c r="S53" s="6"/>
      <c r="T53" s="6"/>
    </row>
    <row r="54" spans="14:20" x14ac:dyDescent="0.25">
      <c r="N54" s="6"/>
      <c r="O54" s="6"/>
      <c r="P54" s="6"/>
      <c r="Q54" s="6"/>
      <c r="R54" s="6"/>
      <c r="S54" s="6"/>
      <c r="T5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>
      <selection activeCell="F42" sqref="F42"/>
    </sheetView>
  </sheetViews>
  <sheetFormatPr defaultRowHeight="15" x14ac:dyDescent="0.25"/>
  <sheetData>
    <row r="117" spans="6:13" x14ac:dyDescent="0.25">
      <c r="F117" s="127" t="s">
        <v>55</v>
      </c>
      <c r="G117" s="127"/>
      <c r="H117" s="127"/>
      <c r="I117" s="127"/>
      <c r="J117" s="127"/>
      <c r="K117" s="127"/>
      <c r="L117" s="127"/>
      <c r="M117" s="12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Q9"/>
  <sheetViews>
    <sheetView topLeftCell="A52" workbookViewId="0">
      <selection activeCell="A78" sqref="A78"/>
    </sheetView>
  </sheetViews>
  <sheetFormatPr defaultRowHeight="15" x14ac:dyDescent="0.25"/>
  <sheetData>
    <row r="9" spans="17:17" x14ac:dyDescent="0.25">
      <c r="Q9" t="s">
        <v>79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437" workbookViewId="0">
      <selection activeCell="T502" sqref="T50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2025-02-15T12:15:06Z</dcterms:modified>
</cp:coreProperties>
</file>