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928"/>
  <workbookPr filterPrivacy="1" defaultThemeVersion="124226"/>
  <xr:revisionPtr revIDLastSave="0" documentId="13_ncr:1_{458F630A-22C1-4145-9B72-E1E61FD27F2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20-20" sheetId="10" r:id="rId2"/>
    <sheet name="Area" sheetId="11" r:id="rId3"/>
    <sheet name="rate" sheetId="12" r:id="rId4"/>
    <sheet name="RR" sheetId="13" r:id="rId5"/>
  </sheets>
  <calcPr calcId="191029"/>
</workbook>
</file>

<file path=xl/calcChain.xml><?xml version="1.0" encoding="utf-8"?>
<calcChain xmlns="http://schemas.openxmlformats.org/spreadsheetml/2006/main">
  <c r="F13" i="1" l="1"/>
  <c r="G12" i="10"/>
  <c r="G13" i="10"/>
  <c r="F13" i="10"/>
  <c r="C13" i="10"/>
  <c r="D13" i="10" s="1"/>
  <c r="B4" i="10"/>
  <c r="F12" i="10"/>
  <c r="C12" i="10"/>
  <c r="D12" i="10" s="1"/>
  <c r="F11" i="10"/>
  <c r="C11" i="10"/>
  <c r="G11" i="10" s="1"/>
  <c r="M10" i="10"/>
  <c r="L10" i="10"/>
  <c r="L9" i="10"/>
  <c r="M9" i="10"/>
  <c r="M8" i="10"/>
  <c r="L8" i="10"/>
  <c r="L7" i="10"/>
  <c r="M7" i="10"/>
  <c r="L6" i="10"/>
  <c r="O6" i="10" s="1"/>
  <c r="M6" i="10"/>
  <c r="D11" i="10" l="1"/>
  <c r="H11" i="10" s="1"/>
  <c r="P8" i="10"/>
  <c r="M5" i="10"/>
  <c r="L5" i="10"/>
  <c r="O5" i="10" s="1"/>
  <c r="L4" i="10"/>
  <c r="M4" i="10"/>
  <c r="O3" i="10"/>
  <c r="P3" i="10"/>
  <c r="O4" i="10"/>
  <c r="P4" i="10"/>
  <c r="P5" i="10"/>
  <c r="P6" i="10"/>
  <c r="O7" i="10"/>
  <c r="P7" i="10"/>
  <c r="O8" i="10"/>
  <c r="O9" i="10"/>
  <c r="P9" i="10"/>
  <c r="O10" i="10"/>
  <c r="P10" i="10"/>
  <c r="K3" i="10"/>
  <c r="M3" i="10"/>
  <c r="L3" i="10"/>
  <c r="O2" i="10"/>
  <c r="L2" i="10"/>
  <c r="P2" i="10"/>
  <c r="M2" i="10"/>
  <c r="H9" i="10"/>
  <c r="B5" i="10"/>
  <c r="G5" i="10"/>
  <c r="F4" i="10"/>
  <c r="C3" i="10"/>
  <c r="D3" i="10" s="1"/>
  <c r="H3" i="10" s="1"/>
  <c r="D4" i="10"/>
  <c r="H4" i="10" s="1"/>
  <c r="C6" i="10"/>
  <c r="D6" i="10"/>
  <c r="C7" i="10"/>
  <c r="D7" i="10" s="1"/>
  <c r="H7" i="10" s="1"/>
  <c r="C7" i="1"/>
  <c r="I4" i="1"/>
  <c r="I3" i="1"/>
  <c r="L5" i="1"/>
  <c r="F10" i="10"/>
  <c r="C10" i="10"/>
  <c r="G10" i="10" s="1"/>
  <c r="F9" i="10"/>
  <c r="C9" i="10"/>
  <c r="D9" i="10" s="1"/>
  <c r="F8" i="10"/>
  <c r="C8" i="10"/>
  <c r="D8" i="10" s="1"/>
  <c r="H8" i="10" s="1"/>
  <c r="F7" i="10"/>
  <c r="F6" i="10"/>
  <c r="G6" i="10"/>
  <c r="F5" i="10"/>
  <c r="G4" i="10"/>
  <c r="G3" i="10"/>
  <c r="F3" i="10"/>
  <c r="F2" i="10"/>
  <c r="C2" i="10"/>
  <c r="D2" i="10" s="1"/>
  <c r="H2" i="10" s="1"/>
  <c r="G8" i="10" l="1"/>
  <c r="D10" i="10"/>
  <c r="H10" i="10" s="1"/>
  <c r="G9" i="10"/>
  <c r="H5" i="10"/>
  <c r="G7" i="10"/>
  <c r="H6" i="10"/>
  <c r="G2" i="10"/>
  <c r="B20" i="1" l="1"/>
  <c r="B7" i="1"/>
  <c r="C16" i="1"/>
  <c r="C10" i="1"/>
  <c r="C6" i="1"/>
  <c r="C11" i="1" l="1"/>
  <c r="C12" i="1" s="1"/>
  <c r="C13" i="1" s="1"/>
  <c r="C17" i="1" s="1"/>
  <c r="F31" i="1" s="1"/>
  <c r="C20" i="1" l="1"/>
  <c r="C18" i="1"/>
  <c r="C19" i="1"/>
  <c r="F33" i="1" l="1"/>
  <c r="F32" i="1"/>
  <c r="B8" i="1"/>
  <c r="B10" i="1" l="1"/>
  <c r="B5" i="1" l="1"/>
  <c r="B11" i="1" l="1"/>
  <c r="B6" i="1"/>
  <c r="B14" i="1"/>
  <c r="B12" i="1" l="1"/>
  <c r="B13" i="1" s="1"/>
  <c r="B15" i="1" s="1"/>
  <c r="B17" i="1" s="1"/>
  <c r="B21" i="1" s="1"/>
  <c r="B19" i="1" l="1"/>
  <c r="B18" i="1"/>
</calcChain>
</file>

<file path=xl/sharedStrings.xml><?xml version="1.0" encoding="utf-8"?>
<sst xmlns="http://schemas.openxmlformats.org/spreadsheetml/2006/main" count="58" uniqueCount="47">
  <si>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</si>
  <si>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</si>
  <si>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</si>
  <si>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</si>
  <si>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</si>
  <si>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</si>
  <si>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</si>
  <si>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Amt</t>
  </si>
  <si>
    <t>Depreciated Bldg. Rate</t>
  </si>
  <si>
    <t>Total Composite Rate</t>
  </si>
  <si>
    <t>Value</t>
  </si>
  <si>
    <t>IV</t>
  </si>
  <si>
    <t>Rental Value</t>
  </si>
  <si>
    <t>Carpet area</t>
  </si>
  <si>
    <t>RV</t>
  </si>
  <si>
    <t>DV</t>
  </si>
  <si>
    <t xml:space="preserve">                </t>
  </si>
  <si>
    <t>Cosmos</t>
  </si>
  <si>
    <t>Depreciation (100-10)X49/60</t>
  </si>
  <si>
    <t>Sr. No.</t>
  </si>
  <si>
    <t>Built up area (10%)</t>
  </si>
  <si>
    <t>Saleable area (20 + 20%)</t>
  </si>
  <si>
    <t>Rate on Carpet area</t>
  </si>
  <si>
    <t>Rate on Built up  area (20%)</t>
  </si>
  <si>
    <t>Rate on Saleable area (20 + 20%)</t>
  </si>
  <si>
    <t>Floor</t>
  </si>
  <si>
    <t>Flat No</t>
  </si>
  <si>
    <t>CA</t>
  </si>
  <si>
    <t>Tot CA</t>
  </si>
  <si>
    <t>BUA (10%)</t>
  </si>
  <si>
    <t>CA Rate</t>
  </si>
  <si>
    <t>BUA Rate</t>
  </si>
  <si>
    <t>Lead No. 14199</t>
  </si>
  <si>
    <t xml:space="preserve">Agreement </t>
  </si>
  <si>
    <t>21.05.2021</t>
  </si>
  <si>
    <t>Area</t>
  </si>
  <si>
    <t>Sq. M.</t>
  </si>
  <si>
    <t>Sq. Ft.</t>
  </si>
  <si>
    <t xml:space="preserve">Measurement </t>
  </si>
  <si>
    <t>Bal &amp; Dry Bal</t>
  </si>
  <si>
    <t>1 BHK</t>
  </si>
  <si>
    <t>Rate</t>
  </si>
  <si>
    <t>OC</t>
  </si>
  <si>
    <t>CB - Vile Parle East Branch - Jotsna purabiya - Residential Flat No. 205, 2nd Floor, Building No 5, Wing - A, Arpan residency, Village - Nilemore, Taluka - Vasai, District - Palghar</t>
  </si>
  <si>
    <t>FMV</t>
  </si>
  <si>
    <t>CB (Vile Parle East)</t>
  </si>
  <si>
    <t>Jyostna Purabiya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</si>
</sst>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_(* #,##0.00_);_(* \(#,##0.00\);_(* &quot;-&quot;??_);_(@_)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/>
      <name val="Arial Narrow"/>
      <family val="2"/>
    </font>
    <font>
      <b/>
      <sz val="11"/>
      <color theme="0"/>
      <name val="Arial Narrow"/>
      <family val="2"/>
    </font>
    <font>
      <b/>
      <sz val="14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</cellStyleXfs>
  <cellXfs count="62">
    <xf numFmtId="0" fontId="0" fillId="0" borderId="0" xfId="0"/>
    <xf numFmtId="0" fontId="0" fillId="0" borderId="2" xfId="0" applyBorder="1"/>
    <xf numFmtId="0" fontId="0" fillId="0" borderId="5" xfId="0" applyBorder="1"/>
    <xf numFmtId="43" fontId="0" fillId="0" borderId="0" xfId="0" applyNumberFormat="1"/>
    <xf numFmtId="0" fontId="2" fillId="0" borderId="0" xfId="0" applyFont="1"/>
    <xf numFmtId="0" fontId="3" fillId="0" borderId="0" xfId="0" applyFont="1"/>
    <xf numFmtId="0" fontId="0" fillId="0" borderId="1" xfId="0" applyBorder="1"/>
    <xf numFmtId="0" fontId="3" fillId="0" borderId="4" xfId="0" applyFont="1" applyBorder="1"/>
    <xf numFmtId="43" fontId="3" fillId="0" borderId="0" xfId="0" applyNumberFormat="1" applyFont="1"/>
    <xf numFmtId="0" fontId="4" fillId="0" borderId="0" xfId="2" applyFill="1" applyBorder="1" applyAlignment="1" applyProtection="1"/>
    <xf numFmtId="0" fontId="5" fillId="0" borderId="1" xfId="0" applyFont="1" applyBorder="1"/>
    <xf numFmtId="0" fontId="6" fillId="0" borderId="1" xfId="0" applyFont="1" applyBorder="1" applyAlignment="1">
      <alignment horizontal="center"/>
    </xf>
    <xf numFmtId="43" fontId="5" fillId="0" borderId="1" xfId="0" applyNumberFormat="1" applyFont="1" applyBorder="1"/>
    <xf numFmtId="10" fontId="5" fillId="0" borderId="1" xfId="1" applyNumberFormat="1" applyFont="1" applyBorder="1"/>
    <xf numFmtId="43" fontId="5" fillId="0" borderId="1" xfId="1" applyFont="1" applyBorder="1"/>
    <xf numFmtId="0" fontId="3" fillId="0" borderId="3" xfId="0" applyFont="1" applyBorder="1"/>
    <xf numFmtId="0" fontId="6" fillId="0" borderId="1" xfId="0" applyFont="1" applyBorder="1" applyAlignment="1">
      <alignment horizontal="center" wrapText="1"/>
    </xf>
    <xf numFmtId="0" fontId="7" fillId="2" borderId="1" xfId="0" applyFont="1" applyFill="1" applyBorder="1"/>
    <xf numFmtId="43" fontId="7" fillId="2" borderId="1" xfId="0" applyNumberFormat="1" applyFont="1" applyFill="1" applyBorder="1"/>
    <xf numFmtId="43" fontId="6" fillId="2" borderId="1" xfId="0" applyNumberFormat="1" applyFont="1" applyFill="1" applyBorder="1"/>
    <xf numFmtId="0" fontId="6" fillId="2" borderId="1" xfId="0" applyFont="1" applyFill="1" applyBorder="1"/>
    <xf numFmtId="0" fontId="7" fillId="2" borderId="1" xfId="1" applyNumberFormat="1" applyFont="1" applyFill="1" applyBorder="1"/>
    <xf numFmtId="0" fontId="7" fillId="2" borderId="1" xfId="1" applyNumberFormat="1" applyFont="1" applyFill="1" applyBorder="1" applyAlignment="1">
      <alignment wrapText="1"/>
    </xf>
    <xf numFmtId="10" fontId="7" fillId="2" borderId="1" xfId="1" applyNumberFormat="1" applyFont="1" applyFill="1" applyBorder="1"/>
    <xf numFmtId="43" fontId="7" fillId="2" borderId="1" xfId="1" applyFont="1" applyFill="1" applyBorder="1"/>
    <xf numFmtId="164" fontId="0" fillId="0" borderId="1" xfId="0" applyNumberFormat="1" applyBorder="1"/>
    <xf numFmtId="165" fontId="3" fillId="0" borderId="1" xfId="0" applyNumberFormat="1" applyFont="1" applyBorder="1"/>
    <xf numFmtId="0" fontId="9" fillId="0" borderId="0" xfId="0" applyFont="1"/>
    <xf numFmtId="0" fontId="9" fillId="3" borderId="0" xfId="0" applyFont="1" applyFill="1"/>
    <xf numFmtId="0" fontId="0" fillId="0" borderId="0" xfId="0" applyAlignment="1">
      <alignment wrapText="1"/>
    </xf>
    <xf numFmtId="4" fontId="0" fillId="0" borderId="0" xfId="0" applyNumberFormat="1"/>
    <xf numFmtId="43" fontId="0" fillId="0" borderId="0" xfId="1" applyFont="1" applyFill="1"/>
    <xf numFmtId="3" fontId="0" fillId="0" borderId="0" xfId="0" applyNumberFormat="1"/>
    <xf numFmtId="1" fontId="0" fillId="0" borderId="0" xfId="0" applyNumberFormat="1"/>
    <xf numFmtId="43" fontId="10" fillId="3" borderId="0" xfId="0" applyNumberFormat="1" applyFont="1" applyFill="1"/>
    <xf numFmtId="0" fontId="9" fillId="3" borderId="0" xfId="0" applyFont="1" applyFill="1" applyAlignment="1">
      <alignment horizontal="center"/>
    </xf>
    <xf numFmtId="0" fontId="9" fillId="3" borderId="5" xfId="0" applyFont="1" applyFill="1" applyBorder="1" applyAlignment="1">
      <alignment horizontal="center"/>
    </xf>
    <xf numFmtId="0" fontId="0" fillId="3" borderId="0" xfId="0" applyFill="1"/>
    <xf numFmtId="0" fontId="0" fillId="3" borderId="5" xfId="0" applyFill="1" applyBorder="1"/>
    <xf numFmtId="1" fontId="9" fillId="3" borderId="5" xfId="0" applyNumberFormat="1" applyFont="1" applyFill="1" applyBorder="1" applyAlignment="1">
      <alignment horizontal="center"/>
    </xf>
    <xf numFmtId="0" fontId="6" fillId="3" borderId="1" xfId="1" applyNumberFormat="1" applyFont="1" applyFill="1" applyBorder="1"/>
    <xf numFmtId="43" fontId="8" fillId="3" borderId="1" xfId="0" applyNumberFormat="1" applyFont="1" applyFill="1" applyBorder="1"/>
    <xf numFmtId="0" fontId="11" fillId="0" borderId="1" xfId="0" applyFont="1" applyBorder="1"/>
    <xf numFmtId="43" fontId="11" fillId="0" borderId="1" xfId="1" applyFont="1" applyFill="1" applyBorder="1"/>
    <xf numFmtId="0" fontId="11" fillId="0" borderId="1" xfId="0" applyFont="1" applyBorder="1" applyAlignment="1">
      <alignment wrapText="1"/>
    </xf>
    <xf numFmtId="10" fontId="11" fillId="0" borderId="1" xfId="0" applyNumberFormat="1" applyFont="1" applyBorder="1"/>
    <xf numFmtId="0" fontId="12" fillId="2" borderId="1" xfId="0" applyFont="1" applyFill="1" applyBorder="1"/>
    <xf numFmtId="43" fontId="12" fillId="2" borderId="1" xfId="0" applyNumberFormat="1" applyFont="1" applyFill="1" applyBorder="1"/>
    <xf numFmtId="0" fontId="11" fillId="2" borderId="1" xfId="0" applyFont="1" applyFill="1" applyBorder="1"/>
    <xf numFmtId="43" fontId="11" fillId="2" borderId="1" xfId="0" applyNumberFormat="1" applyFont="1" applyFill="1" applyBorder="1"/>
    <xf numFmtId="4" fontId="0" fillId="3" borderId="0" xfId="0" applyNumberFormat="1" applyFill="1"/>
    <xf numFmtId="43" fontId="13" fillId="0" borderId="1" xfId="1" applyFont="1" applyFill="1" applyBorder="1"/>
    <xf numFmtId="0" fontId="13" fillId="0" borderId="1" xfId="0" applyFont="1" applyBorder="1" applyAlignment="1">
      <alignment horizontal="center"/>
    </xf>
    <xf numFmtId="43" fontId="7" fillId="3" borderId="1" xfId="1" applyFont="1" applyFill="1" applyBorder="1"/>
    <xf numFmtId="43" fontId="5" fillId="3" borderId="1" xfId="0" applyNumberFormat="1" applyFont="1" applyFill="1" applyBorder="1"/>
    <xf numFmtId="0" fontId="7" fillId="3" borderId="1" xfId="1" applyNumberFormat="1" applyFont="1" applyFill="1" applyBorder="1"/>
    <xf numFmtId="4" fontId="0" fillId="0" borderId="0" xfId="0" applyNumberFormat="1" applyFont="1"/>
    <xf numFmtId="4" fontId="0" fillId="0" borderId="0" xfId="0" applyNumberFormat="1" applyFont="1" applyFill="1"/>
    <xf numFmtId="4" fontId="0" fillId="0" borderId="0" xfId="0" applyNumberFormat="1" applyFill="1"/>
    <xf numFmtId="0" fontId="0" fillId="0" borderId="0" xfId="0" applyFill="1"/>
    <xf numFmtId="1" fontId="0" fillId="0" borderId="0" xfId="0" applyNumberFormat="1" applyFill="1" applyAlignment="1">
      <alignment horizontal="right"/>
    </xf>
    <xf numFmtId="1" fontId="0" fillId="0" borderId="0" xfId="0" applyNumberFormat="1" applyFill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5" Type="http://schemas.openxmlformats.org/officeDocument/2006/relationships/image" Target="../media/image7.png"/><Relationship Id="rId10" Type="http://schemas.openxmlformats.org/officeDocument/2006/relationships/image" Target="../media/image12.png"/><Relationship Id="rId4" Type="http://schemas.openxmlformats.org/officeDocument/2006/relationships/image" Target="../media/image6.png"/><Relationship Id="rId9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491792</xdr:colOff>
      <xdr:row>41</xdr:row>
      <xdr:rowOff>20143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F2EA2EC-B413-229A-506D-4E0CCAD55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92855" cy="78306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14</xdr:col>
      <xdr:colOff>231285</xdr:colOff>
      <xdr:row>84</xdr:row>
      <xdr:rowOff>182064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0FDBBD-6706-588D-4EBA-405B177F9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382000"/>
          <a:ext cx="8745170" cy="78020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553718</xdr:colOff>
      <xdr:row>45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8CE796-AA88-83A7-A62D-E4B92545E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88118" cy="87070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11</xdr:col>
      <xdr:colOff>582042</xdr:colOff>
      <xdr:row>92</xdr:row>
      <xdr:rowOff>39275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7DC775A-BE0C-2947-D903-531FFD0F4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144000"/>
          <a:ext cx="7287642" cy="8421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14</xdr:col>
      <xdr:colOff>534666</xdr:colOff>
      <xdr:row>138</xdr:row>
      <xdr:rowOff>77381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932913C-6A49-BF3C-F1F7-B99FD6987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7907000"/>
          <a:ext cx="9069066" cy="8459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</xdr:row>
      <xdr:rowOff>0</xdr:rowOff>
    </xdr:from>
    <xdr:to>
      <xdr:col>11</xdr:col>
      <xdr:colOff>534410</xdr:colOff>
      <xdr:row>184</xdr:row>
      <xdr:rowOff>134512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511A7E2-CE4E-B432-5D3F-29197CB4C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6860500"/>
          <a:ext cx="7240010" cy="83260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186</xdr:row>
      <xdr:rowOff>0</xdr:rowOff>
    </xdr:from>
    <xdr:to>
      <xdr:col>11</xdr:col>
      <xdr:colOff>362936</xdr:colOff>
      <xdr:row>225</xdr:row>
      <xdr:rowOff>67721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DFD2CEA-C3F4-5840-3EA0-3C682E0E2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5433000"/>
          <a:ext cx="7068536" cy="74972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227</xdr:row>
      <xdr:rowOff>0</xdr:rowOff>
    </xdr:from>
    <xdr:to>
      <xdr:col>14</xdr:col>
      <xdr:colOff>487034</xdr:colOff>
      <xdr:row>270</xdr:row>
      <xdr:rowOff>124986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7245695-2B12-CE20-5A5D-9648C5549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3243500"/>
          <a:ext cx="9021434" cy="83164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272</xdr:row>
      <xdr:rowOff>0</xdr:rowOff>
    </xdr:from>
    <xdr:to>
      <xdr:col>14</xdr:col>
      <xdr:colOff>487034</xdr:colOff>
      <xdr:row>316</xdr:row>
      <xdr:rowOff>115486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53B92FD-DA44-3B8C-F971-AA87BF38E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51816000"/>
          <a:ext cx="9021434" cy="84974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318</xdr:row>
      <xdr:rowOff>0</xdr:rowOff>
    </xdr:from>
    <xdr:to>
      <xdr:col>14</xdr:col>
      <xdr:colOff>572771</xdr:colOff>
      <xdr:row>356</xdr:row>
      <xdr:rowOff>1010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ACE8D57-86C6-FA78-5DF9-41BE56354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60579000"/>
          <a:ext cx="9107171" cy="72400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358</xdr:row>
      <xdr:rowOff>0</xdr:rowOff>
    </xdr:from>
    <xdr:to>
      <xdr:col>14</xdr:col>
      <xdr:colOff>563245</xdr:colOff>
      <xdr:row>399</xdr:row>
      <xdr:rowOff>10616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9BA8533-A122-91E9-E6BA-DD3064802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68199000"/>
          <a:ext cx="9097645" cy="78211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401</xdr:row>
      <xdr:rowOff>0</xdr:rowOff>
    </xdr:from>
    <xdr:to>
      <xdr:col>14</xdr:col>
      <xdr:colOff>420350</xdr:colOff>
      <xdr:row>442</xdr:row>
      <xdr:rowOff>124932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44502316-ABCF-EA1C-5264-A61B6A519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76390500"/>
          <a:ext cx="8954750" cy="79354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445</xdr:row>
      <xdr:rowOff>0</xdr:rowOff>
    </xdr:from>
    <xdr:to>
      <xdr:col>14</xdr:col>
      <xdr:colOff>534666</xdr:colOff>
      <xdr:row>489</xdr:row>
      <xdr:rowOff>10696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D8AF8353-7647-C214-9594-8E49B913C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84772500"/>
          <a:ext cx="9069066" cy="839269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601435</xdr:colOff>
      <xdr:row>41</xdr:row>
      <xdr:rowOff>48722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DC11BC-F916-96A5-D586-458546964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745435" cy="78592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73"/>
  <sheetViews>
    <sheetView tabSelected="1" zoomScale="130" zoomScaleNormal="130" workbookViewId="0">
      <selection activeCell="E13" sqref="E13"/>
    </sheetView>
  </sheetViews>
  <sheetFormatPr defaultRowHeight="15" x14ac:dyDescent="0.25"/>
  <cols>
    <col min="1" max="1" width="21.7109375" bestFit="1" customWidth="1"/>
    <col min="2" max="2" width="18.140625" style="5" bestFit="1" customWidth="1"/>
    <col min="3" max="3" width="21.140625" style="5" customWidth="1"/>
    <col min="4" max="4" width="18.28515625" bestFit="1" customWidth="1"/>
    <col min="5" max="5" width="18.28515625" customWidth="1"/>
    <col min="6" max="6" width="21.7109375" bestFit="1" customWidth="1"/>
    <col min="7" max="7" width="14.7109375" customWidth="1"/>
    <col min="8" max="8" width="15.28515625" customWidth="1"/>
    <col min="9" max="9" width="15.42578125" bestFit="1" customWidth="1"/>
    <col min="10" max="10" width="13.7109375" bestFit="1" customWidth="1"/>
    <col min="11" max="11" width="20.28515625" bestFit="1" customWidth="1"/>
    <col min="12" max="12" width="11.42578125" bestFit="1" customWidth="1"/>
    <col min="13" max="13" width="12.42578125" bestFit="1" customWidth="1"/>
    <col min="14" max="14" width="14.28515625" bestFit="1" customWidth="1"/>
    <col min="15" max="15" width="11.5703125" bestFit="1" customWidth="1"/>
    <col min="16" max="16" width="11.42578125" bestFit="1" customWidth="1"/>
  </cols>
  <sheetData>
    <row r="1" spans="1:12" x14ac:dyDescent="0.25">
      <c r="A1" s="1"/>
      <c r="B1" s="15"/>
      <c r="C1" s="7"/>
      <c r="E1" s="5"/>
      <c r="I1" s="2"/>
    </row>
    <row r="2" spans="1:12" ht="16.5" x14ac:dyDescent="0.3">
      <c r="A2" s="10"/>
      <c r="B2" s="16"/>
      <c r="C2" s="16" t="s">
        <v>17</v>
      </c>
      <c r="D2" s="11"/>
      <c r="E2" s="5"/>
      <c r="F2" s="35" t="s">
        <v>33</v>
      </c>
      <c r="G2" s="35" t="s">
        <v>35</v>
      </c>
      <c r="H2" s="35" t="s">
        <v>36</v>
      </c>
      <c r="I2" s="36" t="s">
        <v>37</v>
      </c>
      <c r="K2" s="35" t="s">
        <v>38</v>
      </c>
    </row>
    <row r="3" spans="1:12" ht="16.5" x14ac:dyDescent="0.3">
      <c r="A3" s="42" t="s">
        <v>0</v>
      </c>
      <c r="B3" s="43">
        <v>25500</v>
      </c>
      <c r="C3" s="21">
        <v>2025</v>
      </c>
      <c r="D3" s="12"/>
      <c r="E3" s="5"/>
      <c r="F3" s="35" t="s">
        <v>40</v>
      </c>
      <c r="G3" s="35" t="s">
        <v>27</v>
      </c>
      <c r="H3" s="35">
        <v>30.86</v>
      </c>
      <c r="I3" s="39">
        <f>H3*10.764</f>
        <v>332.17703999999998</v>
      </c>
      <c r="K3" t="s">
        <v>27</v>
      </c>
      <c r="L3">
        <v>337</v>
      </c>
    </row>
    <row r="4" spans="1:12" ht="33" x14ac:dyDescent="0.3">
      <c r="A4" s="44" t="s">
        <v>1</v>
      </c>
      <c r="B4" s="43">
        <v>2800</v>
      </c>
      <c r="C4" s="40">
        <v>2022</v>
      </c>
      <c r="D4" s="41" t="s">
        <v>42</v>
      </c>
      <c r="E4" s="5"/>
      <c r="F4" s="37"/>
      <c r="G4" s="37" t="s">
        <v>29</v>
      </c>
      <c r="H4" s="37"/>
      <c r="I4" s="39">
        <f>I3*1.1</f>
        <v>365.394744</v>
      </c>
      <c r="K4" t="s">
        <v>39</v>
      </c>
      <c r="L4">
        <v>65</v>
      </c>
    </row>
    <row r="5" spans="1:12" ht="16.5" x14ac:dyDescent="0.3">
      <c r="A5" s="42" t="s">
        <v>2</v>
      </c>
      <c r="B5" s="43">
        <f>B3-B4</f>
        <v>22700</v>
      </c>
      <c r="C5" s="22">
        <v>0</v>
      </c>
      <c r="D5" s="6"/>
      <c r="E5" s="5"/>
      <c r="F5" s="37"/>
      <c r="G5" s="37"/>
      <c r="H5" s="37"/>
      <c r="I5" s="38"/>
      <c r="K5" t="s">
        <v>28</v>
      </c>
      <c r="L5">
        <f>SUM(L3:L4)</f>
        <v>402</v>
      </c>
    </row>
    <row r="6" spans="1:12" ht="16.5" x14ac:dyDescent="0.3">
      <c r="A6" s="42" t="s">
        <v>3</v>
      </c>
      <c r="B6" s="43">
        <f>B4</f>
        <v>2800</v>
      </c>
      <c r="C6" s="21">
        <f>C5-60</f>
        <v>-60</v>
      </c>
      <c r="D6" s="6"/>
      <c r="E6" s="5"/>
      <c r="I6" s="2"/>
    </row>
    <row r="7" spans="1:12" ht="16.5" x14ac:dyDescent="0.3">
      <c r="A7" s="42" t="s">
        <v>4</v>
      </c>
      <c r="B7" s="42">
        <f>E9</f>
        <v>0</v>
      </c>
      <c r="C7" s="18">
        <f>365*2500</f>
        <v>912500</v>
      </c>
      <c r="D7" s="6"/>
      <c r="E7" s="5"/>
      <c r="I7" s="2"/>
    </row>
    <row r="8" spans="1:12" ht="16.5" x14ac:dyDescent="0.3">
      <c r="A8" s="42" t="s">
        <v>5</v>
      </c>
      <c r="B8" s="42">
        <f>B9-B7</f>
        <v>60</v>
      </c>
      <c r="C8" s="17"/>
      <c r="D8" s="6"/>
      <c r="E8" s="5"/>
      <c r="I8" s="2"/>
    </row>
    <row r="9" spans="1:12" ht="16.5" x14ac:dyDescent="0.3">
      <c r="A9" s="42" t="s">
        <v>6</v>
      </c>
      <c r="B9" s="42">
        <v>60</v>
      </c>
      <c r="C9" s="17"/>
      <c r="D9" s="6"/>
      <c r="E9" s="5"/>
      <c r="I9" s="2"/>
    </row>
    <row r="10" spans="1:12" ht="33" x14ac:dyDescent="0.3">
      <c r="A10" s="44" t="s">
        <v>18</v>
      </c>
      <c r="B10" s="42">
        <f>90*B7/B9</f>
        <v>0</v>
      </c>
      <c r="C10" s="17">
        <f>100-10</f>
        <v>90</v>
      </c>
      <c r="D10" s="6"/>
      <c r="E10" s="5"/>
      <c r="I10" s="2"/>
    </row>
    <row r="11" spans="1:12" ht="16.5" x14ac:dyDescent="0.3">
      <c r="A11" s="42"/>
      <c r="B11" s="45">
        <f>B10%</f>
        <v>0</v>
      </c>
      <c r="C11" s="17">
        <f>C10*C5/60</f>
        <v>0</v>
      </c>
      <c r="D11" s="13"/>
      <c r="E11" s="5"/>
      <c r="I11" s="2"/>
    </row>
    <row r="12" spans="1:12" ht="16.5" x14ac:dyDescent="0.3">
      <c r="A12" s="42" t="s">
        <v>7</v>
      </c>
      <c r="B12" s="43">
        <f>B6*B11</f>
        <v>0</v>
      </c>
      <c r="C12" s="23">
        <f>C11%</f>
        <v>0</v>
      </c>
      <c r="D12" s="6"/>
      <c r="E12" s="5"/>
      <c r="I12" s="2"/>
    </row>
    <row r="13" spans="1:12" ht="16.5" x14ac:dyDescent="0.3">
      <c r="A13" s="42" t="s">
        <v>8</v>
      </c>
      <c r="B13" s="43">
        <f>B6-B12</f>
        <v>2800</v>
      </c>
      <c r="C13" s="24">
        <f>ROUND((C7*C12),0)</f>
        <v>0</v>
      </c>
      <c r="D13" s="14"/>
      <c r="E13" s="5"/>
      <c r="F13">
        <f>8600-2500</f>
        <v>6100</v>
      </c>
      <c r="I13" s="2"/>
    </row>
    <row r="14" spans="1:12" ht="16.5" x14ac:dyDescent="0.3">
      <c r="A14" s="42" t="s">
        <v>2</v>
      </c>
      <c r="B14" s="43">
        <f>B5</f>
        <v>22700</v>
      </c>
      <c r="C14" s="53">
        <v>332</v>
      </c>
      <c r="D14" s="54" t="s">
        <v>27</v>
      </c>
      <c r="E14" s="5"/>
      <c r="I14" s="2"/>
    </row>
    <row r="15" spans="1:12" ht="16.5" x14ac:dyDescent="0.3">
      <c r="A15" s="42" t="s">
        <v>9</v>
      </c>
      <c r="B15" s="43">
        <f>B14+B13</f>
        <v>25500</v>
      </c>
      <c r="C15" s="55">
        <v>8600</v>
      </c>
      <c r="D15" s="54" t="s">
        <v>41</v>
      </c>
      <c r="E15" s="5"/>
      <c r="G15" s="33"/>
      <c r="I15" s="2"/>
    </row>
    <row r="16" spans="1:12" ht="16.5" x14ac:dyDescent="0.3">
      <c r="A16" s="46" t="s">
        <v>13</v>
      </c>
      <c r="B16" s="46">
        <v>350</v>
      </c>
      <c r="C16" s="18">
        <f>C15*C14</f>
        <v>2855200</v>
      </c>
      <c r="D16" s="6"/>
      <c r="E16" s="5"/>
      <c r="I16" s="2"/>
    </row>
    <row r="17" spans="1:15" ht="16.5" x14ac:dyDescent="0.3">
      <c r="A17" s="46" t="s">
        <v>10</v>
      </c>
      <c r="B17" s="47">
        <f>B16*B15</f>
        <v>8925000</v>
      </c>
      <c r="C17" s="19">
        <f>C16-C13</f>
        <v>2855200</v>
      </c>
      <c r="D17" s="25"/>
      <c r="E17" s="8"/>
      <c r="I17" s="2"/>
      <c r="O17" s="3"/>
    </row>
    <row r="18" spans="1:15" ht="16.5" x14ac:dyDescent="0.3">
      <c r="A18" s="46" t="s">
        <v>14</v>
      </c>
      <c r="B18" s="47">
        <f>B17*0.9</f>
        <v>8032500</v>
      </c>
      <c r="C18" s="19">
        <f>C17*0.9</f>
        <v>2569680</v>
      </c>
      <c r="D18" s="6"/>
      <c r="E18" s="5"/>
      <c r="I18" s="2"/>
      <c r="O18" s="3"/>
    </row>
    <row r="19" spans="1:15" ht="16.5" x14ac:dyDescent="0.3">
      <c r="A19" s="46" t="s">
        <v>15</v>
      </c>
      <c r="B19" s="47">
        <f>B17*0.8</f>
        <v>7140000</v>
      </c>
      <c r="C19" s="19">
        <f>C17*0.8</f>
        <v>2284160</v>
      </c>
      <c r="D19" s="6"/>
      <c r="E19" s="5"/>
      <c r="I19" s="2"/>
      <c r="O19" s="3"/>
    </row>
    <row r="20" spans="1:15" ht="16.5" x14ac:dyDescent="0.3">
      <c r="A20" s="46" t="s">
        <v>11</v>
      </c>
      <c r="B20" s="47">
        <f>E11*B4</f>
        <v>0</v>
      </c>
      <c r="C20" s="19">
        <f>C17*0.025/12</f>
        <v>5948.333333333333</v>
      </c>
      <c r="D20" s="12"/>
      <c r="E20" s="3"/>
      <c r="F20" s="3"/>
      <c r="G20" s="3"/>
      <c r="I20" s="2"/>
    </row>
    <row r="21" spans="1:15" ht="16.5" x14ac:dyDescent="0.3">
      <c r="A21" s="48" t="s">
        <v>12</v>
      </c>
      <c r="B21" s="49">
        <f>B17*0.025/12</f>
        <v>18593.75</v>
      </c>
      <c r="C21" s="20"/>
      <c r="D21" s="26"/>
      <c r="E21" s="3"/>
      <c r="I21" s="3"/>
    </row>
    <row r="22" spans="1:15" x14ac:dyDescent="0.25">
      <c r="B22" s="8"/>
      <c r="C22" s="8"/>
      <c r="F22" s="28" t="s">
        <v>32</v>
      </c>
    </row>
    <row r="23" spans="1:15" x14ac:dyDescent="0.25">
      <c r="B23" s="8"/>
      <c r="C23" s="8"/>
    </row>
    <row r="24" spans="1:15" x14ac:dyDescent="0.25">
      <c r="A24" s="27" t="s">
        <v>43</v>
      </c>
      <c r="B24" s="8"/>
      <c r="C24" s="8"/>
    </row>
    <row r="25" spans="1:15" x14ac:dyDescent="0.25">
      <c r="B25" s="8"/>
      <c r="C25" s="8"/>
    </row>
    <row r="26" spans="1:15" x14ac:dyDescent="0.25">
      <c r="A26" s="28" t="s">
        <v>33</v>
      </c>
      <c r="B26" s="34"/>
      <c r="C26" s="8"/>
      <c r="F26" t="s">
        <v>16</v>
      </c>
    </row>
    <row r="27" spans="1:15" x14ac:dyDescent="0.25">
      <c r="A27" s="28" t="s">
        <v>34</v>
      </c>
      <c r="B27" s="34">
        <v>2400000</v>
      </c>
      <c r="C27" s="8"/>
    </row>
    <row r="28" spans="1:15" x14ac:dyDescent="0.25">
      <c r="B28" s="8"/>
      <c r="C28" s="8"/>
    </row>
    <row r="29" spans="1:15" ht="18.75" x14ac:dyDescent="0.3">
      <c r="B29" s="8"/>
      <c r="C29" s="8"/>
      <c r="E29" s="52" t="s">
        <v>45</v>
      </c>
      <c r="F29" s="52"/>
    </row>
    <row r="30" spans="1:15" ht="18.75" x14ac:dyDescent="0.3">
      <c r="B30" s="8"/>
      <c r="C30" s="8"/>
      <c r="E30" s="52" t="s">
        <v>46</v>
      </c>
      <c r="F30" s="52"/>
    </row>
    <row r="31" spans="1:15" ht="18.75" x14ac:dyDescent="0.3">
      <c r="B31" s="8"/>
      <c r="C31" s="8"/>
      <c r="E31" s="51" t="s">
        <v>44</v>
      </c>
      <c r="F31" s="51">
        <f>C17</f>
        <v>2855200</v>
      </c>
    </row>
    <row r="32" spans="1:15" ht="18.75" x14ac:dyDescent="0.3">
      <c r="B32" s="8"/>
      <c r="C32" s="8"/>
      <c r="E32" s="51" t="s">
        <v>14</v>
      </c>
      <c r="F32" s="51">
        <f>F31*90%</f>
        <v>2569680</v>
      </c>
    </row>
    <row r="33" spans="1:11" ht="18.75" x14ac:dyDescent="0.3">
      <c r="E33" s="51" t="s">
        <v>15</v>
      </c>
      <c r="F33" s="51">
        <f>F31*80%</f>
        <v>2284160</v>
      </c>
    </row>
    <row r="34" spans="1:11" x14ac:dyDescent="0.25">
      <c r="F34" s="3"/>
    </row>
    <row r="35" spans="1:11" x14ac:dyDescent="0.25">
      <c r="F35" s="3"/>
    </row>
    <row r="36" spans="1:11" ht="17.25" x14ac:dyDescent="0.3">
      <c r="F36" s="3"/>
      <c r="K36" s="9"/>
    </row>
    <row r="37" spans="1:11" ht="17.25" x14ac:dyDescent="0.3">
      <c r="F37" s="3"/>
      <c r="K37" s="9"/>
    </row>
    <row r="38" spans="1:11" x14ac:dyDescent="0.25">
      <c r="F38" s="3"/>
    </row>
    <row r="39" spans="1:11" x14ac:dyDescent="0.25">
      <c r="F39" s="3"/>
    </row>
    <row r="40" spans="1:11" x14ac:dyDescent="0.25">
      <c r="F40" s="3"/>
    </row>
    <row r="41" spans="1:11" x14ac:dyDescent="0.25">
      <c r="F41" s="3"/>
    </row>
    <row r="42" spans="1:11" x14ac:dyDescent="0.25">
      <c r="F42" s="3"/>
    </row>
    <row r="43" spans="1:11" x14ac:dyDescent="0.25">
      <c r="F43" s="3"/>
    </row>
    <row r="44" spans="1:11" x14ac:dyDescent="0.25">
      <c r="F44" s="3"/>
    </row>
    <row r="45" spans="1:11" x14ac:dyDescent="0.25">
      <c r="F45" s="3"/>
    </row>
    <row r="46" spans="1:11" x14ac:dyDescent="0.25">
      <c r="F46" s="3"/>
    </row>
    <row r="47" spans="1:11" ht="15.75" x14ac:dyDescent="0.25">
      <c r="A47" s="4"/>
      <c r="F47" s="3"/>
    </row>
    <row r="48" spans="1:11" ht="15.75" x14ac:dyDescent="0.25">
      <c r="A48" s="4"/>
    </row>
    <row r="49" spans="1:1" ht="15.75" x14ac:dyDescent="0.25">
      <c r="A49" s="4"/>
    </row>
    <row r="50" spans="1:1" ht="15.75" x14ac:dyDescent="0.25">
      <c r="A50" s="4"/>
    </row>
    <row r="51" spans="1:1" ht="15.75" x14ac:dyDescent="0.25">
      <c r="A51" s="4"/>
    </row>
    <row r="52" spans="1:1" ht="15.75" x14ac:dyDescent="0.25">
      <c r="A52" s="4"/>
    </row>
    <row r="53" spans="1:1" ht="15.75" x14ac:dyDescent="0.25">
      <c r="A53" s="4"/>
    </row>
    <row r="73" spans="4:6" x14ac:dyDescent="0.25">
      <c r="D73" s="3"/>
      <c r="E73" s="3"/>
      <c r="F73" s="3"/>
    </row>
  </sheetData>
  <mergeCells count="2">
    <mergeCell ref="E29:F29"/>
    <mergeCell ref="E30:F30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13"/>
  <sheetViews>
    <sheetView workbookViewId="0">
      <selection activeCell="L9" sqref="L9"/>
    </sheetView>
  </sheetViews>
  <sheetFormatPr defaultRowHeight="15" x14ac:dyDescent="0.25"/>
  <cols>
    <col min="5" max="5" width="14.28515625" customWidth="1"/>
    <col min="6" max="6" width="14.7109375" customWidth="1"/>
    <col min="7" max="7" width="13.140625" customWidth="1"/>
    <col min="14" max="14" width="16.28515625" customWidth="1"/>
    <col min="15" max="15" width="12.5703125" customWidth="1"/>
    <col min="16" max="16" width="16.140625" customWidth="1"/>
  </cols>
  <sheetData>
    <row r="1" spans="1:16" ht="60" x14ac:dyDescent="0.25">
      <c r="A1" s="29" t="s">
        <v>19</v>
      </c>
      <c r="B1" s="29" t="s">
        <v>13</v>
      </c>
      <c r="C1" s="29" t="s">
        <v>20</v>
      </c>
      <c r="D1" s="29" t="s">
        <v>21</v>
      </c>
      <c r="E1" s="29" t="s">
        <v>10</v>
      </c>
      <c r="F1" s="29" t="s">
        <v>22</v>
      </c>
      <c r="G1" s="29" t="s">
        <v>23</v>
      </c>
      <c r="H1" s="29" t="s">
        <v>24</v>
      </c>
      <c r="I1" s="29" t="s">
        <v>25</v>
      </c>
      <c r="J1" s="29" t="s">
        <v>26</v>
      </c>
      <c r="K1" s="29"/>
      <c r="L1" s="29" t="s">
        <v>27</v>
      </c>
      <c r="M1" s="29" t="s">
        <v>29</v>
      </c>
      <c r="N1" s="29" t="s">
        <v>10</v>
      </c>
      <c r="O1" s="29" t="s">
        <v>30</v>
      </c>
      <c r="P1" s="29" t="s">
        <v>31</v>
      </c>
    </row>
    <row r="2" spans="1:16" x14ac:dyDescent="0.25">
      <c r="A2" s="59"/>
      <c r="B2" s="59">
        <v>251</v>
      </c>
      <c r="C2" s="59">
        <f>B2*1.1</f>
        <v>276.10000000000002</v>
      </c>
      <c r="D2" s="58">
        <f>C2*1.2</f>
        <v>331.32</v>
      </c>
      <c r="E2" s="58">
        <v>3788000</v>
      </c>
      <c r="F2" s="58">
        <f>E2/B2</f>
        <v>15091.633466135458</v>
      </c>
      <c r="G2" s="31">
        <f>E2/C2</f>
        <v>13719.66678739587</v>
      </c>
      <c r="H2">
        <f>E2/D2</f>
        <v>11433.055656163226</v>
      </c>
      <c r="I2">
        <v>2</v>
      </c>
      <c r="J2">
        <v>201</v>
      </c>
      <c r="L2" s="32">
        <f>M2/1.1</f>
        <v>673.33712727272723</v>
      </c>
      <c r="M2" s="30">
        <f>68.81*10.764</f>
        <v>740.67084</v>
      </c>
      <c r="N2" s="30">
        <v>5100000</v>
      </c>
      <c r="O2" s="30">
        <f>N2/L2</f>
        <v>7574.2147483489434</v>
      </c>
      <c r="P2" s="30">
        <f>N2/M2</f>
        <v>6885.6497712263117</v>
      </c>
    </row>
    <row r="3" spans="1:16" x14ac:dyDescent="0.25">
      <c r="A3" s="59"/>
      <c r="B3" s="60">
        <v>360</v>
      </c>
      <c r="C3" s="59">
        <f t="shared" ref="C3:C7" si="0">B3*1.1</f>
        <v>396.00000000000006</v>
      </c>
      <c r="D3" s="58">
        <f t="shared" ref="D3:D7" si="1">C3*1.2</f>
        <v>475.20000000000005</v>
      </c>
      <c r="E3" s="58">
        <v>2800000</v>
      </c>
      <c r="F3" s="58">
        <f t="shared" ref="F3:F6" si="2">E3/B3</f>
        <v>7777.7777777777774</v>
      </c>
      <c r="G3" s="31">
        <f t="shared" ref="G3:G7" si="3">E3/C3</f>
        <v>7070.7070707070698</v>
      </c>
      <c r="H3">
        <f t="shared" ref="H3:H7" si="4">E3/D3</f>
        <v>5892.2558922558919</v>
      </c>
      <c r="I3">
        <v>6</v>
      </c>
      <c r="J3">
        <v>603</v>
      </c>
      <c r="K3">
        <f>27.44+10.35</f>
        <v>37.79</v>
      </c>
      <c r="L3" s="32">
        <f>K3*10.764</f>
        <v>406.77155999999997</v>
      </c>
      <c r="M3" s="30">
        <f>41.57*10.764</f>
        <v>447.45947999999999</v>
      </c>
      <c r="N3" s="30">
        <v>3000000</v>
      </c>
      <c r="O3" s="30">
        <f t="shared" ref="O3:O10" si="5">N3/L3</f>
        <v>7375.1468760500375</v>
      </c>
      <c r="P3" s="30">
        <f t="shared" ref="P3:P10" si="6">N3/M3</f>
        <v>6704.5176917471945</v>
      </c>
    </row>
    <row r="4" spans="1:16" x14ac:dyDescent="0.25">
      <c r="A4" s="59"/>
      <c r="B4" s="61">
        <f>C4/1.2</f>
        <v>508.33333333333337</v>
      </c>
      <c r="C4" s="59">
        <v>610</v>
      </c>
      <c r="D4" s="58">
        <f t="shared" si="1"/>
        <v>732</v>
      </c>
      <c r="E4" s="58">
        <v>3250000</v>
      </c>
      <c r="F4" s="58">
        <f t="shared" si="2"/>
        <v>6393.442622950819</v>
      </c>
      <c r="G4" s="31">
        <f t="shared" si="3"/>
        <v>5327.8688524590161</v>
      </c>
      <c r="H4">
        <f t="shared" si="4"/>
        <v>4439.890710382514</v>
      </c>
      <c r="I4">
        <v>3</v>
      </c>
      <c r="J4">
        <v>304</v>
      </c>
      <c r="L4" s="32">
        <f>M4/1.1</f>
        <v>223.79334545454543</v>
      </c>
      <c r="M4" s="30">
        <f>22.87*10.764</f>
        <v>246.17267999999999</v>
      </c>
      <c r="N4" s="30">
        <v>2490000</v>
      </c>
      <c r="O4" s="30">
        <f t="shared" si="5"/>
        <v>11126.33619620179</v>
      </c>
      <c r="P4" s="30">
        <f t="shared" si="6"/>
        <v>10114.851087456171</v>
      </c>
    </row>
    <row r="5" spans="1:16" x14ac:dyDescent="0.25">
      <c r="A5" s="59"/>
      <c r="B5" s="61">
        <f>C5*1.1</f>
        <v>522.5</v>
      </c>
      <c r="C5" s="59">
        <v>475</v>
      </c>
      <c r="D5" s="58">
        <v>570</v>
      </c>
      <c r="E5" s="58">
        <v>3500000</v>
      </c>
      <c r="F5" s="58">
        <f t="shared" si="2"/>
        <v>6698.5645933014357</v>
      </c>
      <c r="G5" s="31">
        <f t="shared" si="3"/>
        <v>7368.4210526315792</v>
      </c>
      <c r="H5">
        <f t="shared" si="4"/>
        <v>6140.3508771929828</v>
      </c>
      <c r="I5">
        <v>7</v>
      </c>
      <c r="J5">
        <v>703</v>
      </c>
      <c r="K5">
        <v>33.46</v>
      </c>
      <c r="L5" s="32">
        <f>K5*10.764</f>
        <v>360.16343999999998</v>
      </c>
      <c r="M5" s="30">
        <f>22.87*10.764</f>
        <v>246.17267999999999</v>
      </c>
      <c r="N5" s="50">
        <v>2800000</v>
      </c>
      <c r="O5" s="50">
        <f t="shared" si="5"/>
        <v>7774.2482690636234</v>
      </c>
      <c r="P5" s="30">
        <f t="shared" si="6"/>
        <v>11374.129736898507</v>
      </c>
    </row>
    <row r="6" spans="1:16" x14ac:dyDescent="0.25">
      <c r="A6" s="59"/>
      <c r="B6" s="59">
        <v>353</v>
      </c>
      <c r="C6" s="59">
        <f t="shared" si="0"/>
        <v>388.3</v>
      </c>
      <c r="D6" s="58">
        <f t="shared" si="1"/>
        <v>465.96</v>
      </c>
      <c r="E6" s="58">
        <v>2600000</v>
      </c>
      <c r="F6" s="58">
        <f t="shared" si="2"/>
        <v>7365.4390934844196</v>
      </c>
      <c r="G6" s="31">
        <f t="shared" si="3"/>
        <v>6695.8537213494719</v>
      </c>
      <c r="H6">
        <f t="shared" si="4"/>
        <v>5579.8781011245601</v>
      </c>
      <c r="I6">
        <v>12</v>
      </c>
      <c r="J6">
        <v>1204</v>
      </c>
      <c r="L6" s="30">
        <f>M6/1.1</f>
        <v>301.97912727272723</v>
      </c>
      <c r="M6" s="30">
        <f>30.86*10.764</f>
        <v>332.17703999999998</v>
      </c>
      <c r="N6" s="58">
        <v>3000000</v>
      </c>
      <c r="O6" s="58">
        <f t="shared" si="5"/>
        <v>9934.461454650811</v>
      </c>
      <c r="P6" s="30">
        <f t="shared" si="6"/>
        <v>9031.3285951370999</v>
      </c>
    </row>
    <row r="7" spans="1:16" x14ac:dyDescent="0.25">
      <c r="A7" s="59"/>
      <c r="B7" s="59">
        <v>324</v>
      </c>
      <c r="C7" s="59">
        <f t="shared" si="0"/>
        <v>356.40000000000003</v>
      </c>
      <c r="D7" s="58">
        <f t="shared" si="1"/>
        <v>427.68</v>
      </c>
      <c r="E7" s="58">
        <v>2600000</v>
      </c>
      <c r="F7" s="58">
        <f t="shared" ref="F7:F13" si="7">ROUND((E7/B7),0)</f>
        <v>8025</v>
      </c>
      <c r="G7" s="31">
        <f t="shared" si="3"/>
        <v>7295.1739618406282</v>
      </c>
      <c r="H7">
        <f t="shared" si="4"/>
        <v>6079.3116348671902</v>
      </c>
      <c r="L7" s="56">
        <f>M7/1.1</f>
        <v>301.97912727272723</v>
      </c>
      <c r="M7" s="56">
        <f>30.86*10.764</f>
        <v>332.17703999999998</v>
      </c>
      <c r="N7" s="56">
        <v>2500000</v>
      </c>
      <c r="O7" s="57">
        <f t="shared" si="5"/>
        <v>8278.7178788756755</v>
      </c>
      <c r="P7" s="30">
        <f t="shared" si="6"/>
        <v>7526.1071626142502</v>
      </c>
    </row>
    <row r="8" spans="1:16" x14ac:dyDescent="0.25">
      <c r="B8">
        <v>621</v>
      </c>
      <c r="C8">
        <f t="shared" ref="C8:C13" si="8">B8*1.1</f>
        <v>683.1</v>
      </c>
      <c r="D8" s="30">
        <f t="shared" ref="D8:D13" si="9">C8*1.2</f>
        <v>819.72</v>
      </c>
      <c r="E8" s="30">
        <v>6500000</v>
      </c>
      <c r="F8" s="30">
        <f t="shared" si="7"/>
        <v>10467</v>
      </c>
      <c r="G8" s="31">
        <f t="shared" ref="G8:G9" si="10">E8/C8</f>
        <v>9515.444298052993</v>
      </c>
      <c r="H8">
        <f t="shared" ref="H8:H9" si="11">E8/D8</f>
        <v>7929.5369150441611</v>
      </c>
      <c r="K8">
        <v>37.270000000000003</v>
      </c>
      <c r="L8" s="32">
        <f>K8*10.764</f>
        <v>401.17428000000001</v>
      </c>
      <c r="M8" s="30">
        <f>L8*1.1</f>
        <v>441.29170800000003</v>
      </c>
      <c r="N8" s="30">
        <v>3200000</v>
      </c>
      <c r="O8" s="58">
        <f t="shared" si="5"/>
        <v>7976.5831448616291</v>
      </c>
      <c r="P8" s="30">
        <f t="shared" si="6"/>
        <v>7251.4392226014807</v>
      </c>
    </row>
    <row r="9" spans="1:16" x14ac:dyDescent="0.25">
      <c r="B9">
        <v>365</v>
      </c>
      <c r="C9">
        <f t="shared" si="8"/>
        <v>401.50000000000006</v>
      </c>
      <c r="D9" s="30">
        <f t="shared" si="9"/>
        <v>481.80000000000007</v>
      </c>
      <c r="E9" s="50">
        <v>3400000</v>
      </c>
      <c r="F9" s="50">
        <f t="shared" si="7"/>
        <v>9315</v>
      </c>
      <c r="G9" s="31">
        <f t="shared" si="10"/>
        <v>8468.2440846824393</v>
      </c>
      <c r="H9">
        <f t="shared" si="11"/>
        <v>7056.8700705686997</v>
      </c>
      <c r="L9" s="30">
        <f>M9/1.1</f>
        <v>533.11156363636348</v>
      </c>
      <c r="M9" s="30">
        <f>54.48*10.764</f>
        <v>586.42271999999991</v>
      </c>
      <c r="N9" s="50">
        <v>4490000</v>
      </c>
      <c r="O9" s="50">
        <f t="shared" si="5"/>
        <v>8422.2521255656702</v>
      </c>
      <c r="P9" s="30">
        <f t="shared" si="6"/>
        <v>7656.5928414233349</v>
      </c>
    </row>
    <row r="10" spans="1:16" x14ac:dyDescent="0.25">
      <c r="B10">
        <v>365</v>
      </c>
      <c r="C10">
        <f t="shared" si="8"/>
        <v>401.50000000000006</v>
      </c>
      <c r="D10" s="30">
        <f t="shared" si="9"/>
        <v>481.80000000000007</v>
      </c>
      <c r="E10" s="30">
        <v>2800000</v>
      </c>
      <c r="F10" s="30">
        <f t="shared" si="7"/>
        <v>7671</v>
      </c>
      <c r="G10">
        <f t="shared" ref="G10:G13" si="12">ROUND((E10/C10),0)</f>
        <v>6974</v>
      </c>
      <c r="H10">
        <f t="shared" ref="H10:H11" si="13">F10/D10</f>
        <v>15.92154420921544</v>
      </c>
      <c r="I10">
        <v>3</v>
      </c>
      <c r="J10">
        <v>103</v>
      </c>
      <c r="K10">
        <v>23</v>
      </c>
      <c r="L10" s="32">
        <f>K10*10.764</f>
        <v>247.57199999999997</v>
      </c>
      <c r="M10" s="30">
        <f>25.3*10.764</f>
        <v>272.32920000000001</v>
      </c>
      <c r="N10" s="30">
        <v>2803240</v>
      </c>
      <c r="O10" s="30">
        <f t="shared" si="5"/>
        <v>11322.92827945002</v>
      </c>
      <c r="P10" s="30">
        <f t="shared" si="6"/>
        <v>10293.571163136379</v>
      </c>
    </row>
    <row r="11" spans="1:16" x14ac:dyDescent="0.25">
      <c r="B11" s="59">
        <v>400</v>
      </c>
      <c r="C11" s="59">
        <f t="shared" si="8"/>
        <v>440.00000000000006</v>
      </c>
      <c r="D11" s="58">
        <f t="shared" si="9"/>
        <v>528</v>
      </c>
      <c r="E11" s="58">
        <v>3300000</v>
      </c>
      <c r="F11" s="58">
        <f t="shared" si="7"/>
        <v>8250</v>
      </c>
      <c r="G11" s="31">
        <f t="shared" si="12"/>
        <v>7500</v>
      </c>
      <c r="H11">
        <f t="shared" si="13"/>
        <v>15.625</v>
      </c>
      <c r="M11" s="30"/>
    </row>
    <row r="12" spans="1:16" x14ac:dyDescent="0.25">
      <c r="B12">
        <v>370</v>
      </c>
      <c r="C12">
        <f t="shared" si="8"/>
        <v>407.00000000000006</v>
      </c>
      <c r="D12" s="30">
        <f t="shared" si="9"/>
        <v>488.40000000000003</v>
      </c>
      <c r="E12" s="30">
        <v>3120000</v>
      </c>
      <c r="F12" s="50">
        <f t="shared" si="7"/>
        <v>8432</v>
      </c>
      <c r="G12" s="31">
        <f t="shared" si="12"/>
        <v>7666</v>
      </c>
      <c r="M12" s="30"/>
    </row>
    <row r="13" spans="1:16" x14ac:dyDescent="0.25">
      <c r="B13">
        <v>365</v>
      </c>
      <c r="C13">
        <f t="shared" si="8"/>
        <v>401.50000000000006</v>
      </c>
      <c r="D13" s="30">
        <f t="shared" si="9"/>
        <v>481.80000000000007</v>
      </c>
      <c r="E13" s="30">
        <v>3300000</v>
      </c>
      <c r="F13" s="50">
        <f t="shared" si="7"/>
        <v>9041</v>
      </c>
      <c r="G13" s="31">
        <f t="shared" si="12"/>
        <v>8219</v>
      </c>
    </row>
  </sheetData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7CAF63-7767-445C-929D-A6F89A2F1E79}">
  <dimension ref="A1"/>
  <sheetViews>
    <sheetView topLeftCell="A43" zoomScale="160" zoomScaleNormal="160" workbookViewId="0">
      <selection activeCell="O48" sqref="O4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885778-04D1-4B15-B879-803A53A3B15A}">
  <dimension ref="A1"/>
  <sheetViews>
    <sheetView topLeftCell="A271" workbookViewId="0">
      <selection activeCell="A446" sqref="A44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002AFA-60D3-492F-ACC9-9D7CE3505846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Sheet1</vt:lpstr>
      <vt:lpstr>20-20</vt:lpstr>
      <vt:lpstr>Area</vt:lpstr>
      <vt:lpstr>rate</vt:lpstr>
      <vt:lpstr>RR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2025-02-11T12:01:55Z</dcterms:modified>
</cp:coreProperties>
</file>