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filterPrivacy="1" defaultThemeVersion="124226"/>
  <xr:revisionPtr revIDLastSave="0" documentId="13_ncr:1_{77305392-2F8F-457D-9CB2-B3D2BAC07BC4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Cal" sheetId="1" r:id="rId1"/>
    <sheet name="20-20" sheetId="6" r:id="rId2"/>
    <sheet name="Area" sheetId="5" r:id="rId3"/>
    <sheet name="Rates" sheetId="7" r:id="rId4"/>
  </sheets>
  <calcPr calcId="191029"/>
</workbook>
</file>

<file path=xl/calcChain.xml><?xml version="1.0" encoding="utf-8"?>
<calcChain xmlns="http://schemas.openxmlformats.org/spreadsheetml/2006/main">
  <c r="B3" i="1" l="1"/>
  <c r="B30" i="1"/>
  <c r="C7" i="1"/>
  <c r="I10" i="1"/>
  <c r="I9" i="1"/>
  <c r="I7" i="1"/>
  <c r="I8" i="1"/>
  <c r="P7" i="6"/>
  <c r="Q7" i="6"/>
  <c r="M6" i="6"/>
  <c r="M5" i="6"/>
  <c r="P5" i="6" s="1"/>
  <c r="N4" i="6"/>
  <c r="N5" i="6"/>
  <c r="Q5" i="6" s="1"/>
  <c r="N6" i="6"/>
  <c r="Q6" i="6" s="1"/>
  <c r="N7" i="6"/>
  <c r="N8" i="6"/>
  <c r="N9" i="6"/>
  <c r="N10" i="6"/>
  <c r="N3" i="6"/>
  <c r="M3" i="6"/>
  <c r="P3" i="6" s="1"/>
  <c r="N2" i="6"/>
  <c r="Q2" i="6" s="1"/>
  <c r="C3" i="6"/>
  <c r="D3" i="6" s="1"/>
  <c r="H3" i="6" s="1"/>
  <c r="C4" i="6"/>
  <c r="D4" i="6" s="1"/>
  <c r="H4" i="6" s="1"/>
  <c r="C5" i="6"/>
  <c r="D5" i="6" s="1"/>
  <c r="H5" i="6" s="1"/>
  <c r="C6" i="6"/>
  <c r="D6" i="6" s="1"/>
  <c r="H6" i="6" s="1"/>
  <c r="C7" i="6"/>
  <c r="D7" i="6" s="1"/>
  <c r="C8" i="6"/>
  <c r="D8" i="6" s="1"/>
  <c r="C9" i="6"/>
  <c r="D9" i="6" s="1"/>
  <c r="C10" i="6"/>
  <c r="D10" i="6"/>
  <c r="B7" i="1"/>
  <c r="F7" i="6"/>
  <c r="G7" i="6"/>
  <c r="P6" i="6"/>
  <c r="F6" i="6"/>
  <c r="G6" i="6"/>
  <c r="F5" i="6"/>
  <c r="Q4" i="6"/>
  <c r="P4" i="6"/>
  <c r="G4" i="6"/>
  <c r="F4" i="6"/>
  <c r="Q3" i="6"/>
  <c r="G3" i="6"/>
  <c r="F3" i="6"/>
  <c r="F2" i="6"/>
  <c r="C2" i="6"/>
  <c r="G2" i="6" s="1"/>
  <c r="G5" i="6" l="1"/>
  <c r="M2" i="6"/>
  <c r="P2" i="6" s="1"/>
  <c r="H7" i="6"/>
  <c r="D2" i="6"/>
  <c r="H2" i="6" s="1"/>
  <c r="B22" i="1" l="1"/>
  <c r="C16" i="1"/>
  <c r="C10" i="1"/>
  <c r="C5" i="1"/>
  <c r="C6" i="1" s="1"/>
  <c r="C11" i="1" l="1"/>
  <c r="C12" i="1" s="1"/>
  <c r="C13" i="1" s="1"/>
  <c r="C17" i="1" s="1"/>
  <c r="C19" i="1" s="1"/>
  <c r="C22" i="1" l="1"/>
  <c r="C21" i="1"/>
  <c r="C20" i="1"/>
  <c r="F31" i="1"/>
  <c r="B8" i="1"/>
  <c r="F32" i="1" l="1"/>
  <c r="F33" i="1"/>
  <c r="B10" i="1"/>
  <c r="B11" i="1" l="1"/>
  <c r="B6" i="1"/>
  <c r="B14" i="1"/>
  <c r="B12" i="1" l="1"/>
  <c r="B13" i="1" s="1"/>
  <c r="B15" i="1" s="1"/>
  <c r="B17" i="1" s="1"/>
  <c r="B23" i="1" s="1"/>
  <c r="B21" i="1" l="1"/>
  <c r="B20" i="1"/>
</calcChain>
</file>

<file path=xl/sharedStrings.xml><?xml version="1.0" encoding="utf-8"?>
<sst xmlns="http://schemas.openxmlformats.org/spreadsheetml/2006/main" count="65" uniqueCount="55">
  <si>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</si>
  <si>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</si>
  <si>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</si>
  <si>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</si>
  <si>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</si>
  <si>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</si>
  <si>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</si>
  <si>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</si>
  <si>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</si>
  <si>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</si>
  <si>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Value</t>
  </si>
  <si>
    <t>IV</t>
  </si>
  <si>
    <t>Rental Value</t>
  </si>
  <si>
    <t>Carpet area</t>
  </si>
  <si>
    <t>RV</t>
  </si>
  <si>
    <t>DV</t>
  </si>
  <si>
    <t xml:space="preserve">                </t>
  </si>
  <si>
    <t>Cosmos</t>
  </si>
  <si>
    <t>Depreciation (100-10)X49/60</t>
  </si>
  <si>
    <t xml:space="preserve">As per Agreement </t>
  </si>
  <si>
    <t>Lead No. 014133</t>
  </si>
  <si>
    <t>17th Flr</t>
  </si>
  <si>
    <t>Sr. No.</t>
  </si>
  <si>
    <t>Built up area (20%)</t>
  </si>
  <si>
    <t>Saleable area (20 + 20%)</t>
  </si>
  <si>
    <t>Rate on Carpet area</t>
  </si>
  <si>
    <t>Rate on Built up  area (20%)</t>
  </si>
  <si>
    <t>Rate on Saleable area (20 + 20%)</t>
  </si>
  <si>
    <t>Floor</t>
  </si>
  <si>
    <t>Flat No</t>
  </si>
  <si>
    <t>CA</t>
  </si>
  <si>
    <t>BUA (20%)</t>
  </si>
  <si>
    <t>CA Rate</t>
  </si>
  <si>
    <t>BUA Rate</t>
  </si>
  <si>
    <t>Area</t>
  </si>
  <si>
    <t>Sq. Mtr.</t>
  </si>
  <si>
    <t>Sq. Ft.</t>
  </si>
  <si>
    <t>page</t>
  </si>
  <si>
    <t>OC</t>
  </si>
  <si>
    <t>agreeement</t>
  </si>
  <si>
    <t>28.09.2017</t>
  </si>
  <si>
    <t>FMV</t>
  </si>
  <si>
    <t>CB (Vashi Branch</t>
  </si>
  <si>
    <t>CB - Vashi Branch Sector 17  - Dr. Lata Dhavaal Derashri - Residential Flat No. 1701 &amp; 1702, 17th Floor, Building No Hex - 6, Hex Blox, Village - Kopra Kharghar, Navi Mumbai, Taluka - Panvel, District - Raigad, State - Maharashtra, India</t>
  </si>
  <si>
    <t>Flat No. 1702</t>
  </si>
  <si>
    <t>Flat No. 1701</t>
  </si>
  <si>
    <t>Tot CA</t>
  </si>
  <si>
    <t xml:space="preserve">BUA </t>
  </si>
  <si>
    <t xml:space="preserve">patge </t>
  </si>
  <si>
    <t xml:space="preserve"> Dr. Lata Dhavaal Derashri  (Flat No. 1701 &amp; 1702)</t>
  </si>
  <si>
    <t xml:space="preserve">Measuremnt </t>
  </si>
  <si>
    <t>Tot</t>
  </si>
  <si>
    <t>Car Parking</t>
  </si>
  <si>
    <t>Total FMV</t>
  </si>
  <si>
    <t>1201A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</si>
</sst>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-* #,##0.00_-;\-* #,##0.00_-;_-* &quot;-&quot;??_-;_-@_-"/>
    <numFmt numFmtId="165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58">
    <xf numFmtId="0" fontId="0" fillId="0" borderId="0" xfId="0"/>
    <xf numFmtId="0" fontId="0" fillId="0" borderId="2" xfId="0" applyBorder="1"/>
    <xf numFmtId="0" fontId="0" fillId="0" borderId="5" xfId="0" applyBorder="1"/>
    <xf numFmtId="43" fontId="0" fillId="0" borderId="0" xfId="0" applyNumberFormat="1"/>
    <xf numFmtId="0" fontId="2" fillId="0" borderId="0" xfId="0" applyFont="1"/>
    <xf numFmtId="0" fontId="3" fillId="0" borderId="0" xfId="0" applyFont="1"/>
    <xf numFmtId="0" fontId="0" fillId="0" borderId="1" xfId="0" applyBorder="1"/>
    <xf numFmtId="0" fontId="3" fillId="0" borderId="4" xfId="0" applyFont="1" applyBorder="1"/>
    <xf numFmtId="43" fontId="3" fillId="0" borderId="0" xfId="0" applyNumberFormat="1" applyFont="1"/>
    <xf numFmtId="0" fontId="4" fillId="0" borderId="0" xfId="2" applyFill="1" applyBorder="1" applyAlignment="1" applyProtection="1"/>
    <xf numFmtId="0" fontId="5" fillId="0" borderId="1" xfId="0" applyFont="1" applyBorder="1"/>
    <xf numFmtId="0" fontId="6" fillId="0" borderId="1" xfId="0" applyFont="1" applyBorder="1" applyAlignment="1">
      <alignment horizontal="center"/>
    </xf>
    <xf numFmtId="43" fontId="5" fillId="0" borderId="1" xfId="0" applyNumberFormat="1" applyFont="1" applyBorder="1"/>
    <xf numFmtId="0" fontId="5" fillId="0" borderId="1" xfId="0" applyFont="1" applyBorder="1" applyAlignment="1">
      <alignment wrapText="1"/>
    </xf>
    <xf numFmtId="0" fontId="7" fillId="0" borderId="1" xfId="0" applyFont="1" applyBorder="1"/>
    <xf numFmtId="10" fontId="5" fillId="0" borderId="1" xfId="1" applyNumberFormat="1" applyFont="1" applyBorder="1"/>
    <xf numFmtId="43" fontId="5" fillId="0" borderId="1" xfId="1" applyFont="1" applyBorder="1"/>
    <xf numFmtId="0" fontId="3" fillId="0" borderId="3" xfId="0" applyFont="1" applyBorder="1"/>
    <xf numFmtId="0" fontId="6" fillId="0" borderId="1" xfId="0" applyFont="1" applyBorder="1" applyAlignment="1">
      <alignment horizontal="center" wrapText="1"/>
    </xf>
    <xf numFmtId="43" fontId="7" fillId="0" borderId="1" xfId="1" applyFont="1" applyFill="1" applyBorder="1"/>
    <xf numFmtId="10" fontId="7" fillId="0" borderId="1" xfId="0" applyNumberFormat="1" applyFont="1" applyBorder="1"/>
    <xf numFmtId="0" fontId="7" fillId="2" borderId="1" xfId="0" applyFont="1" applyFill="1" applyBorder="1"/>
    <xf numFmtId="43" fontId="7" fillId="2" borderId="1" xfId="0" applyNumberFormat="1" applyFont="1" applyFill="1" applyBorder="1"/>
    <xf numFmtId="0" fontId="8" fillId="2" borderId="1" xfId="0" applyFont="1" applyFill="1" applyBorder="1"/>
    <xf numFmtId="43" fontId="6" fillId="2" borderId="1" xfId="0" applyNumberFormat="1" applyFont="1" applyFill="1" applyBorder="1"/>
    <xf numFmtId="0" fontId="6" fillId="2" borderId="1" xfId="0" applyFont="1" applyFill="1" applyBorder="1"/>
    <xf numFmtId="0" fontId="7" fillId="2" borderId="1" xfId="1" applyNumberFormat="1" applyFont="1" applyFill="1" applyBorder="1"/>
    <xf numFmtId="0" fontId="7" fillId="2" borderId="1" xfId="1" applyNumberFormat="1" applyFont="1" applyFill="1" applyBorder="1" applyAlignment="1">
      <alignment wrapText="1"/>
    </xf>
    <xf numFmtId="10" fontId="7" fillId="2" borderId="1" xfId="1" applyNumberFormat="1" applyFont="1" applyFill="1" applyBorder="1"/>
    <xf numFmtId="43" fontId="7" fillId="2" borderId="1" xfId="1" applyFont="1" applyFill="1" applyBorder="1"/>
    <xf numFmtId="164" fontId="0" fillId="0" borderId="1" xfId="0" applyNumberFormat="1" applyBorder="1"/>
    <xf numFmtId="165" fontId="3" fillId="0" borderId="1" xfId="0" applyNumberFormat="1" applyFont="1" applyBorder="1"/>
    <xf numFmtId="0" fontId="8" fillId="2" borderId="0" xfId="0" applyFont="1" applyFill="1"/>
    <xf numFmtId="0" fontId="9" fillId="0" borderId="0" xfId="0" applyFont="1"/>
    <xf numFmtId="0" fontId="9" fillId="3" borderId="0" xfId="0" applyFont="1" applyFill="1"/>
    <xf numFmtId="0" fontId="0" fillId="0" borderId="0" xfId="0" applyAlignment="1">
      <alignment wrapText="1"/>
    </xf>
    <xf numFmtId="4" fontId="0" fillId="0" borderId="0" xfId="0" applyNumberFormat="1"/>
    <xf numFmtId="43" fontId="0" fillId="0" borderId="0" xfId="1" applyFont="1" applyFill="1"/>
    <xf numFmtId="3" fontId="0" fillId="0" borderId="0" xfId="0" applyNumberFormat="1"/>
    <xf numFmtId="1" fontId="0" fillId="0" borderId="0" xfId="0" applyNumberFormat="1" applyAlignment="1">
      <alignment horizontal="right"/>
    </xf>
    <xf numFmtId="1" fontId="0" fillId="0" borderId="0" xfId="0" applyNumberFormat="1"/>
    <xf numFmtId="0" fontId="9" fillId="0" borderId="0" xfId="0" applyFont="1" applyAlignment="1">
      <alignment horizontal="center" vertical="center"/>
    </xf>
    <xf numFmtId="0" fontId="9" fillId="3" borderId="0" xfId="0" applyFont="1" applyFill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0" borderId="5" xfId="0" applyFont="1" applyBorder="1" applyAlignment="1">
      <alignment horizontal="center" vertical="center"/>
    </xf>
    <xf numFmtId="1" fontId="0" fillId="0" borderId="5" xfId="0" applyNumberFormat="1" applyBorder="1" applyAlignment="1">
      <alignment horizontal="center"/>
    </xf>
    <xf numFmtId="4" fontId="0" fillId="3" borderId="0" xfId="0" applyNumberFormat="1" applyFill="1"/>
    <xf numFmtId="43" fontId="10" fillId="0" borderId="1" xfId="1" applyFont="1" applyFill="1" applyBorder="1"/>
    <xf numFmtId="0" fontId="0" fillId="3" borderId="0" xfId="0" applyFill="1"/>
    <xf numFmtId="0" fontId="0" fillId="0" borderId="0" xfId="0" applyAlignment="1">
      <alignment horizontal="center"/>
    </xf>
    <xf numFmtId="0" fontId="9" fillId="0" borderId="0" xfId="0" applyFont="1" applyAlignment="1">
      <alignment horizontal="center"/>
    </xf>
    <xf numFmtId="1" fontId="0" fillId="0" borderId="5" xfId="0" applyNumberFormat="1" applyBorder="1" applyAlignment="1">
      <alignment horizontal="center" vertical="center"/>
    </xf>
    <xf numFmtId="43" fontId="8" fillId="3" borderId="1" xfId="0" applyNumberFormat="1" applyFont="1" applyFill="1" applyBorder="1" applyAlignment="1">
      <alignment horizontal="center"/>
    </xf>
    <xf numFmtId="43" fontId="6" fillId="3" borderId="1" xfId="0" applyNumberFormat="1" applyFont="1" applyFill="1" applyBorder="1"/>
    <xf numFmtId="0" fontId="10" fillId="0" borderId="1" xfId="0" applyFont="1" applyBorder="1" applyAlignment="1">
      <alignment horizontal="center"/>
    </xf>
    <xf numFmtId="4" fontId="0" fillId="3" borderId="0" xfId="0" applyNumberFormat="1" applyFont="1" applyFill="1"/>
    <xf numFmtId="4" fontId="0" fillId="0" borderId="0" xfId="0" applyNumberFormat="1" applyFont="1" applyFill="1"/>
    <xf numFmtId="0" fontId="0" fillId="0" borderId="0" xfId="0" applyFont="1" applyFill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238924</xdr:colOff>
      <xdr:row>39</xdr:row>
      <xdr:rowOff>105827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A0C30EA-D525-E89C-B806-94C478279E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725324" cy="75353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42</xdr:row>
      <xdr:rowOff>0</xdr:rowOff>
    </xdr:from>
    <xdr:to>
      <xdr:col>10</xdr:col>
      <xdr:colOff>115167</xdr:colOff>
      <xdr:row>86</xdr:row>
      <xdr:rowOff>20223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BCBCF21D-AC84-53BE-47C8-C5EA56DCDE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001000"/>
          <a:ext cx="6211167" cy="840222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88</xdr:row>
      <xdr:rowOff>0</xdr:rowOff>
    </xdr:from>
    <xdr:to>
      <xdr:col>16</xdr:col>
      <xdr:colOff>201414</xdr:colOff>
      <xdr:row>130</xdr:row>
      <xdr:rowOff>1117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5371D884-C507-1241-25AF-01BAD5E5E2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6764000"/>
          <a:ext cx="9955014" cy="80021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315305</xdr:colOff>
      <xdr:row>40</xdr:row>
      <xdr:rowOff>29643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7024A4-5E6D-2D52-0778-0122B26042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020905" cy="764964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42</xdr:row>
      <xdr:rowOff>0</xdr:rowOff>
    </xdr:from>
    <xdr:to>
      <xdr:col>11</xdr:col>
      <xdr:colOff>181936</xdr:colOff>
      <xdr:row>80</xdr:row>
      <xdr:rowOff>182011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87811ED-1CBF-EA9E-60D2-363AB82B52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001000"/>
          <a:ext cx="6887536" cy="742101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83</xdr:row>
      <xdr:rowOff>0</xdr:rowOff>
    </xdr:from>
    <xdr:to>
      <xdr:col>11</xdr:col>
      <xdr:colOff>334357</xdr:colOff>
      <xdr:row>125</xdr:row>
      <xdr:rowOff>96380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BA30E4D-371E-105A-936D-18BC056B6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5811500"/>
          <a:ext cx="7039957" cy="80973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128</xdr:row>
      <xdr:rowOff>0</xdr:rowOff>
    </xdr:from>
    <xdr:to>
      <xdr:col>11</xdr:col>
      <xdr:colOff>220042</xdr:colOff>
      <xdr:row>171</xdr:row>
      <xdr:rowOff>124986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FB55A76A-0C71-60F4-223E-67EDFF1E25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4384000"/>
          <a:ext cx="6925642" cy="831648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173</xdr:row>
      <xdr:rowOff>0</xdr:rowOff>
    </xdr:from>
    <xdr:to>
      <xdr:col>14</xdr:col>
      <xdr:colOff>544192</xdr:colOff>
      <xdr:row>215</xdr:row>
      <xdr:rowOff>48748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C597CD5-2899-D9FB-6641-0656F4E8CA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32956500"/>
          <a:ext cx="9078592" cy="804974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217</xdr:row>
      <xdr:rowOff>0</xdr:rowOff>
    </xdr:from>
    <xdr:to>
      <xdr:col>14</xdr:col>
      <xdr:colOff>515613</xdr:colOff>
      <xdr:row>259</xdr:row>
      <xdr:rowOff>20169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DBABA922-1F86-E805-DCC3-8BF6635D63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41338500"/>
          <a:ext cx="9050013" cy="80211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5"/>
  <sheetViews>
    <sheetView topLeftCell="A13" zoomScale="130" zoomScaleNormal="130" workbookViewId="0">
      <selection activeCell="H32" sqref="H32"/>
    </sheetView>
  </sheetViews>
  <sheetFormatPr defaultRowHeight="15" x14ac:dyDescent="0.25"/>
  <cols>
    <col min="1" max="1" width="21.7109375" bestFit="1" customWidth="1"/>
    <col min="2" max="2" width="18.140625" style="5" bestFit="1" customWidth="1"/>
    <col min="3" max="3" width="21.140625" style="5" customWidth="1"/>
    <col min="4" max="4" width="18.28515625" bestFit="1" customWidth="1"/>
    <col min="5" max="5" width="18.28515625" customWidth="1"/>
    <col min="6" max="6" width="35.7109375" customWidth="1"/>
    <col min="7" max="7" width="18.85546875" bestFit="1" customWidth="1"/>
    <col min="8" max="8" width="11.42578125" customWidth="1"/>
    <col min="9" max="9" width="15.42578125" bestFit="1" customWidth="1"/>
    <col min="10" max="10" width="13.7109375" bestFit="1" customWidth="1"/>
    <col min="11" max="11" width="20.28515625" bestFit="1" customWidth="1"/>
    <col min="12" max="12" width="11.42578125" bestFit="1" customWidth="1"/>
    <col min="13" max="13" width="12.42578125" bestFit="1" customWidth="1"/>
    <col min="14" max="14" width="14.28515625" bestFit="1" customWidth="1"/>
    <col min="15" max="15" width="11.5703125" bestFit="1" customWidth="1"/>
    <col min="16" max="16" width="11.42578125" bestFit="1" customWidth="1"/>
  </cols>
  <sheetData>
    <row r="1" spans="1:11" x14ac:dyDescent="0.25">
      <c r="A1" s="1"/>
      <c r="B1" s="17"/>
      <c r="C1" s="7"/>
      <c r="E1" s="5"/>
      <c r="I1" s="2"/>
    </row>
    <row r="2" spans="1:11" ht="16.5" x14ac:dyDescent="0.3">
      <c r="A2" s="10"/>
      <c r="B2" s="18" t="s">
        <v>21</v>
      </c>
      <c r="C2" s="18" t="s">
        <v>17</v>
      </c>
      <c r="D2" s="11"/>
      <c r="E2" s="5"/>
      <c r="I2" s="2"/>
    </row>
    <row r="3" spans="1:11" ht="16.5" x14ac:dyDescent="0.3">
      <c r="A3" s="10" t="s">
        <v>0</v>
      </c>
      <c r="B3" s="19">
        <f>B4+B5</f>
        <v>19400</v>
      </c>
      <c r="C3" s="26">
        <v>2025</v>
      </c>
      <c r="D3" s="12"/>
      <c r="E3" s="5"/>
      <c r="F3" s="33" t="s">
        <v>19</v>
      </c>
      <c r="G3" s="42" t="s">
        <v>34</v>
      </c>
      <c r="H3" s="42" t="s">
        <v>35</v>
      </c>
      <c r="I3" s="43" t="s">
        <v>36</v>
      </c>
      <c r="K3" s="42" t="s">
        <v>50</v>
      </c>
    </row>
    <row r="4" spans="1:11" ht="33" x14ac:dyDescent="0.3">
      <c r="A4" s="13" t="s">
        <v>1</v>
      </c>
      <c r="B4" s="19">
        <v>2800</v>
      </c>
      <c r="C4" s="26">
        <v>2010</v>
      </c>
      <c r="D4" s="52" t="s">
        <v>38</v>
      </c>
      <c r="E4" s="5"/>
      <c r="F4" s="49"/>
    </row>
    <row r="5" spans="1:11" ht="16.5" x14ac:dyDescent="0.3">
      <c r="A5" s="10" t="s">
        <v>2</v>
      </c>
      <c r="B5" s="19">
        <v>16600</v>
      </c>
      <c r="C5" s="27">
        <f>C3-C4</f>
        <v>15</v>
      </c>
      <c r="D5" s="6"/>
      <c r="E5" s="5"/>
      <c r="F5" s="50" t="s">
        <v>45</v>
      </c>
      <c r="G5" s="41" t="s">
        <v>30</v>
      </c>
      <c r="I5" s="44">
        <v>853</v>
      </c>
    </row>
    <row r="6" spans="1:11" ht="16.5" x14ac:dyDescent="0.3">
      <c r="A6" s="10" t="s">
        <v>3</v>
      </c>
      <c r="B6" s="19">
        <f>B4</f>
        <v>2800</v>
      </c>
      <c r="C6" s="26">
        <f>60-C5</f>
        <v>45</v>
      </c>
      <c r="D6" s="6"/>
      <c r="E6" s="5"/>
      <c r="F6" s="50" t="s">
        <v>44</v>
      </c>
      <c r="G6" s="41" t="s">
        <v>30</v>
      </c>
      <c r="I6" s="44">
        <v>853</v>
      </c>
    </row>
    <row r="7" spans="1:11" ht="16.5" x14ac:dyDescent="0.3">
      <c r="A7" s="10" t="s">
        <v>4</v>
      </c>
      <c r="B7" s="14">
        <f>C3-C4</f>
        <v>15</v>
      </c>
      <c r="C7" s="22">
        <f>2048*2800</f>
        <v>5734400</v>
      </c>
      <c r="D7" s="6"/>
      <c r="E7" s="5"/>
      <c r="G7" s="33" t="s">
        <v>46</v>
      </c>
      <c r="I7" s="50">
        <f>SUM(I5:I6)</f>
        <v>1706</v>
      </c>
    </row>
    <row r="8" spans="1:11" ht="16.5" x14ac:dyDescent="0.3">
      <c r="A8" s="10" t="s">
        <v>5</v>
      </c>
      <c r="B8" s="14">
        <f>B9-B7</f>
        <v>45</v>
      </c>
      <c r="C8" s="21"/>
      <c r="D8" s="6"/>
      <c r="E8" s="5"/>
      <c r="G8" t="s">
        <v>47</v>
      </c>
      <c r="H8">
        <v>95.13</v>
      </c>
      <c r="I8" s="45">
        <f>H8*10.764</f>
        <v>1023.9793199999999</v>
      </c>
    </row>
    <row r="9" spans="1:11" ht="16.5" x14ac:dyDescent="0.3">
      <c r="A9" s="10" t="s">
        <v>6</v>
      </c>
      <c r="B9" s="14">
        <v>60</v>
      </c>
      <c r="C9" s="21"/>
      <c r="D9" s="6"/>
      <c r="E9" s="5"/>
      <c r="H9">
        <v>95.13</v>
      </c>
      <c r="I9" s="45">
        <f>H9*10.764</f>
        <v>1023.9793199999999</v>
      </c>
    </row>
    <row r="10" spans="1:11" ht="33" x14ac:dyDescent="0.3">
      <c r="A10" s="13" t="s">
        <v>18</v>
      </c>
      <c r="B10" s="14">
        <f>90*B7/B9</f>
        <v>22.5</v>
      </c>
      <c r="C10" s="21">
        <f>100-10</f>
        <v>90</v>
      </c>
      <c r="D10" s="6"/>
      <c r="E10" s="5"/>
      <c r="I10" s="51">
        <f>I8+I9</f>
        <v>2047.9586399999998</v>
      </c>
    </row>
    <row r="11" spans="1:11" ht="16.5" x14ac:dyDescent="0.3">
      <c r="A11" s="10"/>
      <c r="B11" s="20">
        <f>B10%</f>
        <v>0.22500000000000001</v>
      </c>
      <c r="C11" s="21">
        <f>C10*C5/60</f>
        <v>22.5</v>
      </c>
      <c r="D11" s="15"/>
      <c r="E11" s="5"/>
      <c r="I11" s="2"/>
    </row>
    <row r="12" spans="1:11" ht="16.5" x14ac:dyDescent="0.3">
      <c r="A12" s="10" t="s">
        <v>7</v>
      </c>
      <c r="B12" s="19">
        <f>B6*B11</f>
        <v>630</v>
      </c>
      <c r="C12" s="28">
        <f>C11%</f>
        <v>0.22500000000000001</v>
      </c>
      <c r="D12" s="6"/>
      <c r="E12" s="5"/>
      <c r="I12" s="2"/>
    </row>
    <row r="13" spans="1:11" ht="16.5" x14ac:dyDescent="0.3">
      <c r="A13" s="10" t="s">
        <v>8</v>
      </c>
      <c r="B13" s="19">
        <f>B6-B12</f>
        <v>2170</v>
      </c>
      <c r="C13" s="29">
        <f>ROUND((C7*C12),0)</f>
        <v>1290240</v>
      </c>
      <c r="D13" s="16"/>
      <c r="E13" s="5"/>
      <c r="I13" s="2"/>
    </row>
    <row r="14" spans="1:11" ht="16.5" x14ac:dyDescent="0.3">
      <c r="A14" s="10" t="s">
        <v>2</v>
      </c>
      <c r="B14" s="19">
        <f>B5</f>
        <v>16600</v>
      </c>
      <c r="C14" s="29">
        <v>1706</v>
      </c>
      <c r="D14" s="12"/>
      <c r="E14" s="5"/>
      <c r="I14" s="2"/>
    </row>
    <row r="15" spans="1:11" ht="16.5" x14ac:dyDescent="0.3">
      <c r="A15" s="10" t="s">
        <v>9</v>
      </c>
      <c r="B15" s="19">
        <f>B14+B13</f>
        <v>18770</v>
      </c>
      <c r="C15" s="26">
        <v>20000</v>
      </c>
      <c r="D15" s="12"/>
      <c r="E15" s="5"/>
      <c r="I15" s="2"/>
    </row>
    <row r="16" spans="1:11" ht="16.5" x14ac:dyDescent="0.3">
      <c r="A16" s="23" t="s">
        <v>13</v>
      </c>
      <c r="B16" s="25">
        <v>1706</v>
      </c>
      <c r="C16" s="22">
        <f>C15*C14</f>
        <v>34120000</v>
      </c>
      <c r="D16" s="6"/>
      <c r="E16" s="5"/>
      <c r="I16" s="2"/>
    </row>
    <row r="17" spans="1:15" ht="16.5" x14ac:dyDescent="0.3">
      <c r="A17" s="23" t="s">
        <v>10</v>
      </c>
      <c r="B17" s="24">
        <f>B16*B15</f>
        <v>32021620</v>
      </c>
      <c r="C17" s="53">
        <f>C16-C13</f>
        <v>32829760</v>
      </c>
      <c r="D17" s="30"/>
      <c r="E17" s="8"/>
      <c r="I17" s="2"/>
      <c r="O17" s="3"/>
    </row>
    <row r="18" spans="1:15" ht="16.5" x14ac:dyDescent="0.3">
      <c r="A18" s="23" t="s">
        <v>52</v>
      </c>
      <c r="B18" s="24"/>
      <c r="C18" s="53">
        <v>750000</v>
      </c>
      <c r="D18" s="30"/>
      <c r="E18" s="8"/>
      <c r="I18" s="2"/>
      <c r="O18" s="3"/>
    </row>
    <row r="19" spans="1:15" ht="16.5" x14ac:dyDescent="0.3">
      <c r="A19" s="23" t="s">
        <v>53</v>
      </c>
      <c r="B19" s="24"/>
      <c r="C19" s="53">
        <f>C17+C18</f>
        <v>33579760</v>
      </c>
      <c r="D19" s="30"/>
      <c r="E19" s="8"/>
      <c r="I19" s="2"/>
      <c r="O19" s="3"/>
    </row>
    <row r="20" spans="1:15" ht="16.5" x14ac:dyDescent="0.3">
      <c r="A20" s="23" t="s">
        <v>14</v>
      </c>
      <c r="B20" s="24">
        <f>B17*0.9</f>
        <v>28819458</v>
      </c>
      <c r="C20" s="53">
        <f>C19*0.9</f>
        <v>30221784</v>
      </c>
      <c r="D20" s="6"/>
      <c r="E20" s="5"/>
      <c r="I20" s="2"/>
      <c r="O20" s="3"/>
    </row>
    <row r="21" spans="1:15" ht="16.5" x14ac:dyDescent="0.3">
      <c r="A21" s="23" t="s">
        <v>15</v>
      </c>
      <c r="B21" s="24">
        <f>B17*0.8</f>
        <v>25617296</v>
      </c>
      <c r="C21" s="53">
        <f>C19*0.8</f>
        <v>26863808</v>
      </c>
      <c r="D21" s="6"/>
      <c r="E21" s="5"/>
      <c r="I21" s="2"/>
      <c r="O21" s="3"/>
    </row>
    <row r="22" spans="1:15" ht="16.5" x14ac:dyDescent="0.3">
      <c r="A22" s="23" t="s">
        <v>11</v>
      </c>
      <c r="B22" s="24">
        <f>E11*B4</f>
        <v>0</v>
      </c>
      <c r="C22" s="53">
        <f>C19*0.025/12</f>
        <v>69957.833333333328</v>
      </c>
      <c r="D22" s="12"/>
      <c r="E22" s="3"/>
      <c r="F22" s="3"/>
      <c r="G22" s="3"/>
      <c r="I22" s="2"/>
    </row>
    <row r="23" spans="1:15" ht="16.5" x14ac:dyDescent="0.3">
      <c r="A23" s="21" t="s">
        <v>12</v>
      </c>
      <c r="B23" s="22">
        <f>B17*0.025/12</f>
        <v>66711.708333333328</v>
      </c>
      <c r="C23" s="25"/>
      <c r="D23" s="31"/>
      <c r="E23" s="3"/>
      <c r="F23" s="34" t="s">
        <v>20</v>
      </c>
      <c r="I23" s="3"/>
    </row>
    <row r="24" spans="1:15" x14ac:dyDescent="0.25">
      <c r="B24" s="8"/>
      <c r="C24" s="8"/>
    </row>
    <row r="25" spans="1:15" ht="16.5" x14ac:dyDescent="0.3">
      <c r="A25" s="32" t="s">
        <v>43</v>
      </c>
      <c r="B25" s="8"/>
      <c r="C25" s="8"/>
    </row>
    <row r="26" spans="1:15" x14ac:dyDescent="0.25">
      <c r="B26" s="8"/>
      <c r="C26" s="8"/>
    </row>
    <row r="27" spans="1:15" x14ac:dyDescent="0.25">
      <c r="A27" t="s">
        <v>39</v>
      </c>
      <c r="B27" s="8"/>
      <c r="C27" s="8"/>
    </row>
    <row r="28" spans="1:15" x14ac:dyDescent="0.25">
      <c r="A28" t="s">
        <v>40</v>
      </c>
      <c r="B28" s="8">
        <v>9150000</v>
      </c>
      <c r="C28" s="8" t="s">
        <v>45</v>
      </c>
      <c r="F28" t="s">
        <v>16</v>
      </c>
    </row>
    <row r="29" spans="1:15" ht="18.75" x14ac:dyDescent="0.3">
      <c r="B29" s="8">
        <v>9150000</v>
      </c>
      <c r="C29" s="8" t="s">
        <v>45</v>
      </c>
      <c r="E29" s="54" t="s">
        <v>42</v>
      </c>
      <c r="F29" s="54"/>
    </row>
    <row r="30" spans="1:15" ht="18.75" x14ac:dyDescent="0.3">
      <c r="B30" s="8">
        <f>SUM(B28:B29)</f>
        <v>18300000</v>
      </c>
      <c r="C30" s="8" t="s">
        <v>51</v>
      </c>
      <c r="E30" s="54" t="s">
        <v>49</v>
      </c>
      <c r="F30" s="54"/>
    </row>
    <row r="31" spans="1:15" ht="18.75" x14ac:dyDescent="0.3">
      <c r="B31" s="8"/>
      <c r="C31" s="8"/>
      <c r="E31" s="47" t="s">
        <v>41</v>
      </c>
      <c r="F31" s="47">
        <f>C19</f>
        <v>33579760</v>
      </c>
    </row>
    <row r="32" spans="1:15" ht="18.75" x14ac:dyDescent="0.3">
      <c r="B32" s="8"/>
      <c r="C32" s="8"/>
      <c r="E32" s="47" t="s">
        <v>14</v>
      </c>
      <c r="F32" s="47">
        <f>F31*90%</f>
        <v>30221784</v>
      </c>
    </row>
    <row r="33" spans="2:11" ht="18.75" x14ac:dyDescent="0.3">
      <c r="B33" s="8"/>
      <c r="C33" s="8"/>
      <c r="E33" s="47" t="s">
        <v>15</v>
      </c>
      <c r="F33" s="47">
        <f>F31*80%</f>
        <v>26863808</v>
      </c>
    </row>
    <row r="34" spans="2:11" x14ac:dyDescent="0.25">
      <c r="B34" s="8"/>
      <c r="C34" s="8"/>
    </row>
    <row r="35" spans="2:11" x14ac:dyDescent="0.25">
      <c r="F35" s="3"/>
    </row>
    <row r="36" spans="2:11" x14ac:dyDescent="0.25">
      <c r="F36" s="3"/>
    </row>
    <row r="37" spans="2:11" x14ac:dyDescent="0.25">
      <c r="F37" s="3"/>
    </row>
    <row r="38" spans="2:11" ht="17.25" x14ac:dyDescent="0.3">
      <c r="F38" s="3"/>
      <c r="K38" s="9"/>
    </row>
    <row r="39" spans="2:11" ht="17.25" x14ac:dyDescent="0.3">
      <c r="F39" s="3"/>
      <c r="K39" s="9"/>
    </row>
    <row r="40" spans="2:11" x14ac:dyDescent="0.25">
      <c r="F40" s="3"/>
    </row>
    <row r="41" spans="2:11" x14ac:dyDescent="0.25">
      <c r="F41" s="3"/>
    </row>
    <row r="42" spans="2:11" x14ac:dyDescent="0.25">
      <c r="F42" s="3"/>
    </row>
    <row r="43" spans="2:11" x14ac:dyDescent="0.25">
      <c r="F43" s="3"/>
    </row>
    <row r="44" spans="2:11" x14ac:dyDescent="0.25">
      <c r="F44" s="3"/>
    </row>
    <row r="45" spans="2:11" x14ac:dyDescent="0.25">
      <c r="F45" s="3"/>
    </row>
    <row r="46" spans="2:11" x14ac:dyDescent="0.25">
      <c r="F46" s="3"/>
    </row>
    <row r="47" spans="2:11" x14ac:dyDescent="0.25">
      <c r="F47" s="3"/>
    </row>
    <row r="48" spans="2:11" x14ac:dyDescent="0.25">
      <c r="F48" s="3"/>
    </row>
    <row r="49" spans="1:6" ht="15.75" x14ac:dyDescent="0.25">
      <c r="A49" s="4"/>
      <c r="F49" s="3"/>
    </row>
    <row r="50" spans="1:6" ht="15.75" x14ac:dyDescent="0.25">
      <c r="A50" s="4"/>
    </row>
    <row r="51" spans="1:6" ht="15.75" x14ac:dyDescent="0.25">
      <c r="A51" s="4"/>
    </row>
    <row r="52" spans="1:6" ht="15.75" x14ac:dyDescent="0.25">
      <c r="A52" s="4"/>
    </row>
    <row r="53" spans="1:6" ht="15.75" x14ac:dyDescent="0.25">
      <c r="A53" s="4"/>
    </row>
    <row r="54" spans="1:6" ht="15.75" x14ac:dyDescent="0.25">
      <c r="A54" s="4"/>
    </row>
    <row r="55" spans="1:6" ht="15.75" x14ac:dyDescent="0.25">
      <c r="A55" s="4"/>
    </row>
    <row r="75" spans="4:6" x14ac:dyDescent="0.25">
      <c r="D75" s="3"/>
      <c r="E75" s="3"/>
      <c r="F75" s="3"/>
    </row>
  </sheetData>
  <mergeCells count="2">
    <mergeCell ref="E29:F29"/>
    <mergeCell ref="E30:F3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10"/>
  <sheetViews>
    <sheetView tabSelected="1" workbookViewId="0">
      <selection activeCell="L26" sqref="L26"/>
    </sheetView>
  </sheetViews>
  <sheetFormatPr defaultRowHeight="15" x14ac:dyDescent="0.25"/>
  <cols>
    <col min="5" max="5" width="13.42578125" bestFit="1" customWidth="1"/>
    <col min="6" max="6" width="18.140625" customWidth="1"/>
    <col min="7" max="7" width="15.28515625" customWidth="1"/>
    <col min="8" max="9" width="14.7109375" customWidth="1"/>
    <col min="15" max="15" width="15.7109375" customWidth="1"/>
    <col min="16" max="16" width="17.42578125" customWidth="1"/>
    <col min="17" max="17" width="14.85546875" customWidth="1"/>
  </cols>
  <sheetData>
    <row r="1" spans="1:17" ht="45" x14ac:dyDescent="0.25">
      <c r="A1" s="35" t="s">
        <v>22</v>
      </c>
      <c r="B1" s="35" t="s">
        <v>13</v>
      </c>
      <c r="C1" s="35" t="s">
        <v>23</v>
      </c>
      <c r="D1" s="35" t="s">
        <v>24</v>
      </c>
      <c r="E1" s="35" t="s">
        <v>10</v>
      </c>
      <c r="F1" s="35" t="s">
        <v>25</v>
      </c>
      <c r="G1" s="35" t="s">
        <v>26</v>
      </c>
      <c r="H1" s="35" t="s">
        <v>27</v>
      </c>
      <c r="I1" s="35"/>
      <c r="J1" s="35" t="s">
        <v>28</v>
      </c>
      <c r="K1" s="35" t="s">
        <v>29</v>
      </c>
      <c r="L1" s="35"/>
      <c r="M1" s="35" t="s">
        <v>30</v>
      </c>
      <c r="N1" s="35" t="s">
        <v>31</v>
      </c>
      <c r="O1" s="35" t="s">
        <v>10</v>
      </c>
      <c r="P1" s="35" t="s">
        <v>32</v>
      </c>
      <c r="Q1" s="35" t="s">
        <v>33</v>
      </c>
    </row>
    <row r="2" spans="1:17" x14ac:dyDescent="0.25">
      <c r="B2">
        <v>900</v>
      </c>
      <c r="C2">
        <f>B2*1.2</f>
        <v>1080</v>
      </c>
      <c r="D2" s="36">
        <f>C2*1.2</f>
        <v>1296</v>
      </c>
      <c r="E2" s="36">
        <v>11800000</v>
      </c>
      <c r="F2" s="36">
        <f>E2/B2</f>
        <v>13111.111111111111</v>
      </c>
      <c r="G2" s="37">
        <f>E2/C2</f>
        <v>10925.925925925925</v>
      </c>
      <c r="H2">
        <f>E2/D2</f>
        <v>9104.9382716049386</v>
      </c>
      <c r="J2">
        <v>6</v>
      </c>
      <c r="K2">
        <v>602</v>
      </c>
      <c r="M2" s="38">
        <f>N2/1.2</f>
        <v>1081.3335</v>
      </c>
      <c r="N2" s="36">
        <f>120.55*10.764</f>
        <v>1297.6001999999999</v>
      </c>
      <c r="O2" s="36">
        <v>20500000</v>
      </c>
      <c r="P2" s="55">
        <f t="shared" ref="P2:P3" si="0">O2/M2</f>
        <v>18958.07352680741</v>
      </c>
      <c r="Q2" s="46">
        <f t="shared" ref="Q2:Q7" si="1">O2/N2</f>
        <v>15798.394605672844</v>
      </c>
    </row>
    <row r="3" spans="1:17" x14ac:dyDescent="0.25">
      <c r="B3" s="39">
        <v>770</v>
      </c>
      <c r="C3">
        <f t="shared" ref="C3:D3" si="2">B3*1.2</f>
        <v>924</v>
      </c>
      <c r="D3" s="36">
        <f t="shared" si="2"/>
        <v>1108.8</v>
      </c>
      <c r="E3" s="36">
        <v>13800000</v>
      </c>
      <c r="F3" s="46">
        <f t="shared" ref="F3:F6" si="3">E3/B3</f>
        <v>17922.077922077922</v>
      </c>
      <c r="G3" s="37">
        <f t="shared" ref="G3:G7" si="4">E3/C3</f>
        <v>14935.064935064935</v>
      </c>
      <c r="H3">
        <f t="shared" ref="H3:H7" si="5">E3/D3</f>
        <v>12445.887445887447</v>
      </c>
      <c r="J3">
        <v>12</v>
      </c>
      <c r="K3">
        <v>1201</v>
      </c>
      <c r="L3">
        <v>63.88</v>
      </c>
      <c r="M3" s="38">
        <f>L3*10.764</f>
        <v>687.60432000000003</v>
      </c>
      <c r="N3" s="36">
        <f>M3*1.2</f>
        <v>825.12518399999999</v>
      </c>
      <c r="O3" s="36">
        <v>10000000</v>
      </c>
      <c r="P3" s="56">
        <f t="shared" si="0"/>
        <v>14543.247779478756</v>
      </c>
      <c r="Q3" s="36">
        <f t="shared" si="1"/>
        <v>12119.37314956563</v>
      </c>
    </row>
    <row r="4" spans="1:17" x14ac:dyDescent="0.25">
      <c r="B4" s="40">
        <v>750</v>
      </c>
      <c r="C4">
        <f t="shared" ref="C4:D4" si="6">B4*1.2</f>
        <v>900</v>
      </c>
      <c r="D4" s="36">
        <f t="shared" si="6"/>
        <v>1080</v>
      </c>
      <c r="E4" s="36">
        <v>14000000</v>
      </c>
      <c r="F4" s="46">
        <f t="shared" si="3"/>
        <v>18666.666666666668</v>
      </c>
      <c r="G4" s="37">
        <f t="shared" si="4"/>
        <v>15555.555555555555</v>
      </c>
      <c r="H4">
        <f t="shared" si="5"/>
        <v>12962.962962962964</v>
      </c>
      <c r="J4">
        <v>14</v>
      </c>
      <c r="K4">
        <v>1403</v>
      </c>
      <c r="M4" s="38">
        <v>591</v>
      </c>
      <c r="N4" s="36">
        <f t="shared" ref="N4:N10" si="7">M4*1.2</f>
        <v>709.19999999999993</v>
      </c>
      <c r="O4" s="36">
        <v>14000000</v>
      </c>
      <c r="P4" s="56">
        <f>O4/M4</f>
        <v>23688.663282571913</v>
      </c>
      <c r="Q4" s="36">
        <f t="shared" si="1"/>
        <v>19740.552735476595</v>
      </c>
    </row>
    <row r="5" spans="1:17" x14ac:dyDescent="0.25">
      <c r="B5" s="40">
        <v>859</v>
      </c>
      <c r="C5">
        <f t="shared" ref="C5:D5" si="8">B5*1.2</f>
        <v>1030.8</v>
      </c>
      <c r="D5" s="36">
        <f t="shared" si="8"/>
        <v>1236.9599999999998</v>
      </c>
      <c r="E5" s="36">
        <v>13500000</v>
      </c>
      <c r="F5" s="36">
        <f t="shared" si="3"/>
        <v>15715.948777648429</v>
      </c>
      <c r="G5" s="37">
        <f t="shared" si="4"/>
        <v>13096.62398137369</v>
      </c>
      <c r="H5">
        <f t="shared" si="5"/>
        <v>10913.85331781141</v>
      </c>
      <c r="J5">
        <v>12</v>
      </c>
      <c r="K5" t="s">
        <v>54</v>
      </c>
      <c r="M5" s="38">
        <f>768+67+86</f>
        <v>921</v>
      </c>
      <c r="N5" s="36">
        <f t="shared" si="7"/>
        <v>1105.2</v>
      </c>
      <c r="O5" s="46">
        <v>19700000</v>
      </c>
      <c r="P5" s="55">
        <f>O5/M5</f>
        <v>21389.793702497285</v>
      </c>
      <c r="Q5" s="46">
        <f t="shared" si="1"/>
        <v>17824.828085414403</v>
      </c>
    </row>
    <row r="6" spans="1:17" x14ac:dyDescent="0.25">
      <c r="B6">
        <v>859</v>
      </c>
      <c r="C6">
        <f t="shared" ref="C6:D6" si="9">B6*1.2</f>
        <v>1030.8</v>
      </c>
      <c r="D6" s="36">
        <f t="shared" si="9"/>
        <v>1236.9599999999998</v>
      </c>
      <c r="E6" s="36">
        <v>14000000</v>
      </c>
      <c r="F6" s="36">
        <f t="shared" si="3"/>
        <v>16298.020954598371</v>
      </c>
      <c r="G6" s="37">
        <f t="shared" si="4"/>
        <v>13581.684128831976</v>
      </c>
      <c r="H6">
        <f t="shared" si="5"/>
        <v>11318.070107359981</v>
      </c>
      <c r="J6">
        <v>6</v>
      </c>
      <c r="K6">
        <v>602</v>
      </c>
      <c r="L6">
        <v>74.52</v>
      </c>
      <c r="M6" s="38">
        <f>L6*10.764</f>
        <v>802.1332799999999</v>
      </c>
      <c r="N6" s="36">
        <f t="shared" si="7"/>
        <v>962.55993599999988</v>
      </c>
      <c r="O6" s="36">
        <v>17700000</v>
      </c>
      <c r="P6" s="56">
        <f>O6/M6</f>
        <v>22066.158382058406</v>
      </c>
      <c r="Q6" s="36">
        <f t="shared" si="1"/>
        <v>18388.465318382005</v>
      </c>
    </row>
    <row r="7" spans="1:17" x14ac:dyDescent="0.25">
      <c r="B7" s="48">
        <v>800</v>
      </c>
      <c r="C7" s="48">
        <f t="shared" ref="C7:D7" si="10">B7*1.2</f>
        <v>960</v>
      </c>
      <c r="D7" s="46">
        <f t="shared" si="10"/>
        <v>1152</v>
      </c>
      <c r="E7" s="46">
        <v>15500000</v>
      </c>
      <c r="F7" s="46">
        <f t="shared" ref="F7" si="11">ROUND((E7/B7),0)</f>
        <v>19375</v>
      </c>
      <c r="G7" s="37">
        <f t="shared" si="4"/>
        <v>16145.833333333334</v>
      </c>
      <c r="H7">
        <f t="shared" si="5"/>
        <v>13454.861111111111</v>
      </c>
      <c r="J7">
        <v>1</v>
      </c>
      <c r="K7">
        <v>104</v>
      </c>
      <c r="M7" s="36">
        <v>319</v>
      </c>
      <c r="N7" s="36">
        <f t="shared" si="7"/>
        <v>382.8</v>
      </c>
      <c r="O7" s="36">
        <v>5100000</v>
      </c>
      <c r="P7" s="56">
        <f>O7/M7</f>
        <v>15987.460815047021</v>
      </c>
      <c r="Q7" s="36">
        <f t="shared" si="1"/>
        <v>13322.884012539185</v>
      </c>
    </row>
    <row r="8" spans="1:17" x14ac:dyDescent="0.25">
      <c r="C8">
        <f t="shared" ref="C8:D8" si="12">B8*1.2</f>
        <v>0</v>
      </c>
      <c r="D8" s="36">
        <f t="shared" si="12"/>
        <v>0</v>
      </c>
      <c r="N8" s="36">
        <f t="shared" si="7"/>
        <v>0</v>
      </c>
      <c r="P8" s="57"/>
    </row>
    <row r="9" spans="1:17" x14ac:dyDescent="0.25">
      <c r="C9">
        <f t="shared" ref="C9:D9" si="13">B9*1.2</f>
        <v>0</v>
      </c>
      <c r="D9" s="36">
        <f t="shared" si="13"/>
        <v>0</v>
      </c>
      <c r="N9" s="36">
        <f t="shared" si="7"/>
        <v>0</v>
      </c>
    </row>
    <row r="10" spans="1:17" x14ac:dyDescent="0.25">
      <c r="C10">
        <f t="shared" ref="C10:D10" si="14">B10*1.2</f>
        <v>0</v>
      </c>
      <c r="D10" s="36">
        <f t="shared" si="14"/>
        <v>0</v>
      </c>
      <c r="N10" s="36">
        <f t="shared" si="7"/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K16:S98"/>
  <sheetViews>
    <sheetView topLeftCell="A46" workbookViewId="0">
      <selection activeCell="R88" sqref="R88"/>
    </sheetView>
  </sheetViews>
  <sheetFormatPr defaultRowHeight="15" x14ac:dyDescent="0.25"/>
  <sheetData>
    <row r="16" spans="11:11" x14ac:dyDescent="0.25">
      <c r="K16" t="s">
        <v>37</v>
      </c>
    </row>
    <row r="98" spans="18:19" x14ac:dyDescent="0.25">
      <c r="R98" t="s">
        <v>48</v>
      </c>
      <c r="S98">
        <v>46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238" workbookViewId="0">
      <selection activeCell="A218" sqref="A218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</vt:lpstr>
      <vt:lpstr>20-20</vt:lpstr>
      <vt:lpstr>Area</vt:lpstr>
      <vt:lpstr>Rates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2025-02-06T11:23:19Z</dcterms:modified>
</cp:coreProperties>
</file>