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F4C45A92-1FC6-4BC1-8366-B2F5127FA65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al" sheetId="1" r:id="rId1"/>
    <sheet name="20-20" sheetId="10" r:id="rId2"/>
    <sheet name="Area" sheetId="11" r:id="rId3"/>
    <sheet name="rate" sheetId="12" r:id="rId4"/>
    <sheet name="RR" sheetId="13" r:id="rId5"/>
  </sheets>
  <calcPr calcId="191029"/>
</workbook>
</file>

<file path=xl/calcChain.xml><?xml version="1.0" encoding="utf-8"?>
<calcChain xmlns="http://schemas.openxmlformats.org/spreadsheetml/2006/main">
  <c r="F19" i="1" l="1"/>
  <c r="F12" i="1" l="1"/>
  <c r="B3" i="10"/>
  <c r="B4" i="10"/>
  <c r="B2" i="10"/>
  <c r="D4" i="10"/>
  <c r="D3" i="10"/>
  <c r="M3" i="10"/>
  <c r="P3" i="10" s="1"/>
  <c r="O3" i="10"/>
  <c r="O4" i="10"/>
  <c r="P4" i="10"/>
  <c r="P2" i="10"/>
  <c r="O2" i="10"/>
  <c r="M2" i="10"/>
  <c r="F34" i="1"/>
  <c r="F33" i="1"/>
  <c r="F32" i="1"/>
  <c r="C7" i="1" l="1"/>
  <c r="C6" i="1"/>
  <c r="I4" i="1"/>
  <c r="I3" i="1"/>
  <c r="M10" i="10"/>
  <c r="F10" i="10"/>
  <c r="H10" i="10" s="1"/>
  <c r="C10" i="10"/>
  <c r="G10" i="10" s="1"/>
  <c r="M9" i="10"/>
  <c r="F9" i="10"/>
  <c r="C9" i="10"/>
  <c r="D9" i="10" s="1"/>
  <c r="M8" i="10"/>
  <c r="F8" i="10"/>
  <c r="C8" i="10"/>
  <c r="D8" i="10" s="1"/>
  <c r="F7" i="10"/>
  <c r="H7" i="10"/>
  <c r="F6" i="10"/>
  <c r="G6" i="10"/>
  <c r="F5" i="10"/>
  <c r="G5" i="10"/>
  <c r="G4" i="10"/>
  <c r="F4" i="10"/>
  <c r="H4" i="10"/>
  <c r="G3" i="10"/>
  <c r="F3" i="10"/>
  <c r="H3" i="10"/>
  <c r="F2" i="10"/>
  <c r="D2" i="10"/>
  <c r="H2" i="10" s="1"/>
  <c r="H5" i="10" l="1"/>
  <c r="H9" i="10"/>
  <c r="G8" i="10"/>
  <c r="G7" i="10"/>
  <c r="H6" i="10"/>
  <c r="H8" i="10"/>
  <c r="G9" i="10"/>
  <c r="G2" i="10"/>
  <c r="B20" i="1" l="1"/>
  <c r="B7" i="1"/>
  <c r="C16" i="1"/>
  <c r="C10" i="1"/>
  <c r="C5" i="1"/>
  <c r="C11" i="1" l="1"/>
  <c r="C12" i="1" s="1"/>
  <c r="C13" i="1" s="1"/>
  <c r="C17" i="1" s="1"/>
  <c r="C20" i="1" s="1"/>
  <c r="C19" i="1" l="1"/>
  <c r="C18" i="1"/>
  <c r="B8" i="1" l="1"/>
  <c r="B10" i="1" l="1"/>
  <c r="B5" i="1" l="1"/>
  <c r="B11" i="1" l="1"/>
  <c r="B6" i="1"/>
  <c r="B14" i="1"/>
  <c r="B12" i="1" l="1"/>
  <c r="B13" i="1" s="1"/>
  <c r="B15" i="1" s="1"/>
  <c r="B17" i="1" s="1"/>
  <c r="B21" i="1" s="1"/>
  <c r="B19" i="1" l="1"/>
  <c r="B18" i="1"/>
</calcChain>
</file>

<file path=xl/sharedStrings.xml><?xml version="1.0" encoding="utf-8"?>
<sst xmlns="http://schemas.openxmlformats.org/spreadsheetml/2006/main" count="56" uniqueCount="47">
  <si>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</si>
  <si>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</si>
  <si>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</si>
  <si>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</si>
  <si>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</si>
  <si>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</si>
  <si>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</si>
  <si>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</si>
  <si>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</si>
  <si>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>Total Composite Rate</t>
  </si>
  <si>
    <t>Value</t>
  </si>
  <si>
    <t>IV</t>
  </si>
  <si>
    <t>Rental Value</t>
  </si>
  <si>
    <t>Carpet area</t>
  </si>
  <si>
    <t>RV</t>
  </si>
  <si>
    <t>DV</t>
  </si>
  <si>
    <t xml:space="preserve">                </t>
  </si>
  <si>
    <t>Cosmos</t>
  </si>
  <si>
    <t>Depreciation (100-10)X49/60</t>
  </si>
  <si>
    <t>Sr. No.</t>
  </si>
  <si>
    <t>Saleable area (20 + 20%)</t>
  </si>
  <si>
    <t>Rate on Carpet area</t>
  </si>
  <si>
    <t>Rate on Built up  area (20%)</t>
  </si>
  <si>
    <t>Rate on Saleable area (20 + 20%)</t>
  </si>
  <si>
    <t>Floor</t>
  </si>
  <si>
    <t>Flat No</t>
  </si>
  <si>
    <t>CA</t>
  </si>
  <si>
    <t>CA Rate</t>
  </si>
  <si>
    <t>BUA Rate</t>
  </si>
  <si>
    <t>CB - Dombivli (East) - Mr. Moiz Taherali Khanjiwala - Industrial Gala No. 204, 2nd Floor, Building No B-1, Print World Industrial Complex, New/Current Survey No. 15/1, 15/2, 15/3, 15/4, 15/5, 15/6, 15/8, 15/11, 15/12 &amp; 24/31, Village - Vehele, Taluka - Bhiwandi , District - Thane</t>
  </si>
  <si>
    <t>Lead No. 14163</t>
  </si>
  <si>
    <t>page</t>
  </si>
  <si>
    <t xml:space="preserve">Agreement </t>
  </si>
  <si>
    <t>Area</t>
  </si>
  <si>
    <t>Sq. M.</t>
  </si>
  <si>
    <t>Sq. Ft.</t>
  </si>
  <si>
    <t>Industrial Gala</t>
  </si>
  <si>
    <t>Rate</t>
  </si>
  <si>
    <t>date 16.05.2018</t>
  </si>
  <si>
    <t>Agreement</t>
  </si>
  <si>
    <t>BUA (20%)</t>
  </si>
  <si>
    <t>Building Completion</t>
  </si>
  <si>
    <t>FMV</t>
  </si>
  <si>
    <t>CB (Dombivli East)</t>
  </si>
  <si>
    <t>Mr. Moiz Taherali Khanjiwala</t>
  </si>
  <si>
    <t>16 &amp; 17</t>
  </si>
  <si>
    <t>Built up area (20%)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</si>
</sst>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0.0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/>
      <name val="Arial Narrow"/>
      <family val="2"/>
    </font>
    <font>
      <b/>
      <sz val="11"/>
      <color theme="0"/>
      <name val="Arial Narrow"/>
      <family val="2"/>
    </font>
    <font>
      <sz val="12"/>
      <color theme="0"/>
      <name val="Arial Narrow"/>
      <family val="2"/>
    </font>
    <font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5" xfId="0" applyBorder="1"/>
    <xf numFmtId="43" fontId="0" fillId="0" borderId="0" xfId="0" applyNumberFormat="1"/>
    <xf numFmtId="0" fontId="2" fillId="0" borderId="0" xfId="0" applyFont="1"/>
    <xf numFmtId="0" fontId="0" fillId="0" borderId="1" xfId="0" applyBorder="1"/>
    <xf numFmtId="0" fontId="2" fillId="0" borderId="4" xfId="0" applyFont="1" applyBorder="1"/>
    <xf numFmtId="43" fontId="2" fillId="0" borderId="0" xfId="0" applyNumberFormat="1" applyFont="1"/>
    <xf numFmtId="0" fontId="3" fillId="0" borderId="0" xfId="2" applyFill="1" applyBorder="1" applyAlignment="1" applyProtection="1"/>
    <xf numFmtId="0" fontId="4" fillId="0" borderId="1" xfId="0" applyFont="1" applyBorder="1"/>
    <xf numFmtId="0" fontId="5" fillId="0" borderId="1" xfId="0" applyFont="1" applyBorder="1" applyAlignment="1">
      <alignment horizontal="center"/>
    </xf>
    <xf numFmtId="43" fontId="4" fillId="0" borderId="1" xfId="0" applyNumberFormat="1" applyFont="1" applyBorder="1"/>
    <xf numFmtId="10" fontId="4" fillId="0" borderId="1" xfId="1" applyNumberFormat="1" applyFont="1" applyBorder="1"/>
    <xf numFmtId="43" fontId="4" fillId="0" borderId="1" xfId="1" applyFont="1" applyBorder="1"/>
    <xf numFmtId="0" fontId="5" fillId="0" borderId="1" xfId="0" applyFont="1" applyBorder="1" applyAlignment="1">
      <alignment horizontal="center" wrapText="1"/>
    </xf>
    <xf numFmtId="0" fontId="6" fillId="2" borderId="1" xfId="0" applyFont="1" applyFill="1" applyBorder="1"/>
    <xf numFmtId="43" fontId="6" fillId="2" borderId="1" xfId="0" applyNumberFormat="1" applyFont="1" applyFill="1" applyBorder="1"/>
    <xf numFmtId="43" fontId="5" fillId="2" borderId="1" xfId="0" applyNumberFormat="1" applyFont="1" applyFill="1" applyBorder="1"/>
    <xf numFmtId="0" fontId="6" fillId="2" borderId="1" xfId="1" applyNumberFormat="1" applyFont="1" applyFill="1" applyBorder="1"/>
    <xf numFmtId="0" fontId="6" fillId="2" borderId="1" xfId="1" applyNumberFormat="1" applyFont="1" applyFill="1" applyBorder="1" applyAlignment="1">
      <alignment wrapText="1"/>
    </xf>
    <xf numFmtId="10" fontId="6" fillId="2" borderId="1" xfId="1" applyNumberFormat="1" applyFont="1" applyFill="1" applyBorder="1"/>
    <xf numFmtId="43" fontId="6" fillId="2" borderId="1" xfId="1" applyFont="1" applyFill="1" applyBorder="1"/>
    <xf numFmtId="164" fontId="0" fillId="0" borderId="1" xfId="0" applyNumberFormat="1" applyBorder="1"/>
    <xf numFmtId="165" fontId="2" fillId="0" borderId="1" xfId="0" applyNumberFormat="1" applyFont="1" applyBorder="1"/>
    <xf numFmtId="0" fontId="8" fillId="0" borderId="0" xfId="0" applyFont="1"/>
    <xf numFmtId="0" fontId="8" fillId="3" borderId="0" xfId="0" applyFont="1" applyFill="1"/>
    <xf numFmtId="0" fontId="0" fillId="0" borderId="0" xfId="0" applyAlignment="1">
      <alignment wrapText="1"/>
    </xf>
    <xf numFmtId="4" fontId="0" fillId="0" borderId="0" xfId="0" applyNumberFormat="1"/>
    <xf numFmtId="43" fontId="0" fillId="0" borderId="0" xfId="1" applyFont="1" applyFill="1"/>
    <xf numFmtId="3" fontId="0" fillId="0" borderId="0" xfId="0" applyNumberFormat="1"/>
    <xf numFmtId="1" fontId="0" fillId="0" borderId="0" xfId="0" applyNumberFormat="1"/>
    <xf numFmtId="0" fontId="9" fillId="3" borderId="0" xfId="0" applyFont="1" applyFill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5" xfId="0" applyFont="1" applyFill="1" applyBorder="1"/>
    <xf numFmtId="43" fontId="4" fillId="3" borderId="1" xfId="0" applyNumberFormat="1" applyFont="1" applyFill="1" applyBorder="1"/>
    <xf numFmtId="166" fontId="8" fillId="3" borderId="5" xfId="0" applyNumberFormat="1" applyFont="1" applyFill="1" applyBorder="1" applyAlignment="1">
      <alignment horizontal="center" vertical="center"/>
    </xf>
    <xf numFmtId="1" fontId="8" fillId="3" borderId="5" xfId="0" applyNumberFormat="1" applyFont="1" applyFill="1" applyBorder="1" applyAlignment="1">
      <alignment horizontal="center" vertical="center"/>
    </xf>
    <xf numFmtId="43" fontId="7" fillId="0" borderId="1" xfId="0" applyNumberFormat="1" applyFont="1" applyBorder="1"/>
    <xf numFmtId="43" fontId="10" fillId="0" borderId="1" xfId="1" applyFont="1" applyFill="1" applyBorder="1"/>
    <xf numFmtId="4" fontId="0" fillId="3" borderId="0" xfId="0" applyNumberFormat="1" applyFill="1"/>
    <xf numFmtId="43" fontId="0" fillId="3" borderId="0" xfId="1" applyFont="1" applyFill="1"/>
    <xf numFmtId="43" fontId="12" fillId="0" borderId="1" xfId="1" applyFont="1" applyFill="1" applyBorder="1"/>
    <xf numFmtId="0" fontId="11" fillId="0" borderId="0" xfId="0" applyFont="1"/>
    <xf numFmtId="0" fontId="14" fillId="0" borderId="0" xfId="0" applyFont="1"/>
    <xf numFmtId="43" fontId="8" fillId="3" borderId="0" xfId="0" applyNumberFormat="1" applyFont="1" applyFill="1"/>
    <xf numFmtId="4" fontId="0" fillId="4" borderId="0" xfId="0" applyNumberFormat="1" applyFill="1"/>
    <xf numFmtId="0" fontId="7" fillId="0" borderId="1" xfId="0" applyFont="1" applyBorder="1" applyAlignment="1">
      <alignment horizontal="center" wrapText="1"/>
    </xf>
    <xf numFmtId="0" fontId="0" fillId="0" borderId="2" xfId="0" applyBorder="1"/>
    <xf numFmtId="0" fontId="0" fillId="0" borderId="3" xfId="0" applyBorder="1"/>
    <xf numFmtId="0" fontId="12" fillId="0" borderId="1" xfId="0" applyFont="1" applyBorder="1"/>
    <xf numFmtId="0" fontId="12" fillId="0" borderId="1" xfId="0" applyFont="1" applyBorder="1" applyAlignment="1">
      <alignment wrapText="1"/>
    </xf>
    <xf numFmtId="10" fontId="12" fillId="0" borderId="1" xfId="0" applyNumberFormat="1" applyFont="1" applyBorder="1"/>
    <xf numFmtId="0" fontId="13" fillId="0" borderId="1" xfId="0" applyFont="1" applyBorder="1"/>
    <xf numFmtId="43" fontId="13" fillId="0" borderId="1" xfId="0" applyNumberFormat="1" applyFont="1" applyBorder="1"/>
    <xf numFmtId="43" fontId="12" fillId="0" borderId="1" xfId="0" applyNumberFormat="1" applyFont="1" applyBorder="1"/>
    <xf numFmtId="43" fontId="11" fillId="0" borderId="0" xfId="0" applyNumberFormat="1" applyFont="1"/>
    <xf numFmtId="0" fontId="10" fillId="0" borderId="1" xfId="0" applyFont="1" applyBorder="1" applyAlignment="1">
      <alignment horizontal="center"/>
    </xf>
    <xf numFmtId="0" fontId="7" fillId="2" borderId="1" xfId="0" applyFont="1" applyFill="1" applyBorder="1"/>
    <xf numFmtId="43" fontId="15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565876</xdr:colOff>
      <xdr:row>40</xdr:row>
      <xdr:rowOff>20116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1BF1E8-FB1B-8956-55D7-EACD06D6F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888595" cy="76401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16</xdr:col>
      <xdr:colOff>5510</xdr:colOff>
      <xdr:row>76</xdr:row>
      <xdr:rowOff>86641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F42C91-2EAF-1408-654C-3E548ADEE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9812119" cy="65636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553718</xdr:colOff>
      <xdr:row>46</xdr:row>
      <xdr:rowOff>1196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B4E7ED-9BFC-2944-7091-1522B1F6C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88118" cy="8573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14</xdr:col>
      <xdr:colOff>515613</xdr:colOff>
      <xdr:row>92</xdr:row>
      <xdr:rowOff>29749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78618A-77F5-9E39-0976-16E9A7528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9050013" cy="84117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14</xdr:col>
      <xdr:colOff>429876</xdr:colOff>
      <xdr:row>136</xdr:row>
      <xdr:rowOff>134485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3C2A0C2-9B8F-A1E8-BFE8-189C19D8D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907000"/>
          <a:ext cx="8964276" cy="813548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382329</xdr:colOff>
      <xdr:row>44</xdr:row>
      <xdr:rowOff>125012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A9F11E-644A-EEA2-636A-49DDD2647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526329" cy="8507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3"/>
  <sheetViews>
    <sheetView tabSelected="1" topLeftCell="A7" zoomScale="130" zoomScaleNormal="130" workbookViewId="0">
      <selection activeCell="H27" sqref="H27"/>
    </sheetView>
  </sheetViews>
  <sheetFormatPr defaultRowHeight="15" x14ac:dyDescent="0.25"/>
  <cols>
    <col min="1" max="1" width="21.7109375" style="42" bestFit="1" customWidth="1"/>
    <col min="2" max="2" width="18.140625" style="42" bestFit="1" customWidth="1"/>
    <col min="3" max="3" width="21.140625" style="3" customWidth="1"/>
    <col min="4" max="4" width="18.28515625" bestFit="1" customWidth="1"/>
    <col min="5" max="5" width="18.28515625" customWidth="1"/>
    <col min="6" max="6" width="21.7109375" bestFit="1" customWidth="1"/>
    <col min="7" max="7" width="15" customWidth="1"/>
    <col min="8" max="8" width="15.85546875" customWidth="1"/>
    <col min="9" max="9" width="15.42578125" bestFit="1" customWidth="1"/>
    <col min="10" max="10" width="13.7109375" bestFit="1" customWidth="1"/>
    <col min="11" max="11" width="20.28515625" bestFit="1" customWidth="1"/>
    <col min="12" max="12" width="11.42578125" bestFit="1" customWidth="1"/>
    <col min="13" max="13" width="12.42578125" bestFit="1" customWidth="1"/>
    <col min="14" max="14" width="14.28515625" bestFit="1" customWidth="1"/>
    <col min="15" max="15" width="11.5703125" bestFit="1" customWidth="1"/>
    <col min="16" max="16" width="11.42578125" bestFit="1" customWidth="1"/>
  </cols>
  <sheetData>
    <row r="1" spans="1:9" x14ac:dyDescent="0.25">
      <c r="A1" s="47"/>
      <c r="B1" s="48"/>
      <c r="C1" s="5"/>
      <c r="E1" s="3"/>
      <c r="I1" s="1"/>
    </row>
    <row r="2" spans="1:9" ht="16.5" x14ac:dyDescent="0.3">
      <c r="A2" s="8"/>
      <c r="B2" s="46"/>
      <c r="C2" s="13" t="s">
        <v>17</v>
      </c>
      <c r="D2" s="9"/>
      <c r="E2" s="3"/>
      <c r="F2" s="31" t="s">
        <v>32</v>
      </c>
      <c r="G2" s="31" t="s">
        <v>33</v>
      </c>
      <c r="H2" s="31" t="s">
        <v>34</v>
      </c>
      <c r="I2" s="32" t="s">
        <v>35</v>
      </c>
    </row>
    <row r="3" spans="1:9" ht="16.5" x14ac:dyDescent="0.3">
      <c r="A3" s="49" t="s">
        <v>0</v>
      </c>
      <c r="B3" s="41">
        <v>25500</v>
      </c>
      <c r="C3" s="17">
        <v>2025</v>
      </c>
      <c r="D3" s="10"/>
      <c r="E3" s="30" t="s">
        <v>36</v>
      </c>
      <c r="F3" s="24"/>
      <c r="G3" s="31" t="s">
        <v>26</v>
      </c>
      <c r="H3" s="31">
        <v>174.19</v>
      </c>
      <c r="I3" s="35">
        <f>H3*10.764</f>
        <v>1874.9811599999998</v>
      </c>
    </row>
    <row r="4" spans="1:9" ht="33" x14ac:dyDescent="0.3">
      <c r="A4" s="50" t="s">
        <v>1</v>
      </c>
      <c r="B4" s="41">
        <v>2800</v>
      </c>
      <c r="C4" s="17">
        <v>2013</v>
      </c>
      <c r="D4" s="37" t="s">
        <v>41</v>
      </c>
      <c r="E4" s="3"/>
      <c r="F4" s="24"/>
      <c r="G4" s="31" t="s">
        <v>40</v>
      </c>
      <c r="H4" s="24"/>
      <c r="I4" s="36">
        <f>I3*1.2</f>
        <v>2249.9773919999998</v>
      </c>
    </row>
    <row r="5" spans="1:9" ht="16.5" x14ac:dyDescent="0.3">
      <c r="A5" s="49" t="s">
        <v>2</v>
      </c>
      <c r="B5" s="41">
        <f>B3-B4</f>
        <v>22700</v>
      </c>
      <c r="C5" s="18">
        <f>C3-C4</f>
        <v>12</v>
      </c>
      <c r="D5" s="4"/>
      <c r="E5" s="3"/>
      <c r="F5" s="24"/>
      <c r="G5" s="24"/>
      <c r="H5" s="24"/>
      <c r="I5" s="33"/>
    </row>
    <row r="6" spans="1:9" ht="16.5" x14ac:dyDescent="0.3">
      <c r="A6" s="49" t="s">
        <v>3</v>
      </c>
      <c r="B6" s="41">
        <f>B4</f>
        <v>2800</v>
      </c>
      <c r="C6" s="17">
        <f>60-C5</f>
        <v>48</v>
      </c>
      <c r="D6" s="4"/>
      <c r="E6" s="3"/>
      <c r="F6" s="24"/>
      <c r="G6" s="24"/>
      <c r="H6" s="24"/>
      <c r="I6" s="33"/>
    </row>
    <row r="7" spans="1:9" ht="16.5" x14ac:dyDescent="0.3">
      <c r="A7" s="49" t="s">
        <v>4</v>
      </c>
      <c r="B7" s="49">
        <f>E9</f>
        <v>0</v>
      </c>
      <c r="C7" s="15">
        <f>2250*2500</f>
        <v>5625000</v>
      </c>
      <c r="D7" s="4"/>
      <c r="E7" s="3"/>
      <c r="I7" s="1"/>
    </row>
    <row r="8" spans="1:9" ht="16.5" x14ac:dyDescent="0.3">
      <c r="A8" s="49" t="s">
        <v>5</v>
      </c>
      <c r="B8" s="49">
        <f>B9-B7</f>
        <v>60</v>
      </c>
      <c r="C8" s="14"/>
      <c r="D8" s="4"/>
      <c r="E8" s="3"/>
      <c r="I8" s="1"/>
    </row>
    <row r="9" spans="1:9" ht="16.5" x14ac:dyDescent="0.3">
      <c r="A9" s="49" t="s">
        <v>6</v>
      </c>
      <c r="B9" s="49">
        <v>60</v>
      </c>
      <c r="C9" s="14"/>
      <c r="D9" s="4"/>
      <c r="E9" s="3"/>
      <c r="I9" s="1"/>
    </row>
    <row r="10" spans="1:9" ht="33" x14ac:dyDescent="0.3">
      <c r="A10" s="50" t="s">
        <v>18</v>
      </c>
      <c r="B10" s="49">
        <f>90*B7/B9</f>
        <v>0</v>
      </c>
      <c r="C10" s="14">
        <f>100-10</f>
        <v>90</v>
      </c>
      <c r="D10" s="4"/>
      <c r="E10" s="3"/>
      <c r="I10" s="1"/>
    </row>
    <row r="11" spans="1:9" ht="16.5" x14ac:dyDescent="0.3">
      <c r="A11" s="49"/>
      <c r="B11" s="51">
        <f>B10%</f>
        <v>0</v>
      </c>
      <c r="C11" s="14">
        <f>C10*C5/60</f>
        <v>18</v>
      </c>
      <c r="D11" s="11"/>
      <c r="E11" s="3"/>
      <c r="I11" s="1"/>
    </row>
    <row r="12" spans="1:9" ht="16.5" x14ac:dyDescent="0.3">
      <c r="A12" s="49" t="s">
        <v>7</v>
      </c>
      <c r="B12" s="41">
        <f>B6*B11</f>
        <v>0</v>
      </c>
      <c r="C12" s="19">
        <f>C11%</f>
        <v>0.18</v>
      </c>
      <c r="D12" s="4"/>
      <c r="E12" s="3"/>
      <c r="F12">
        <f>4000-2500</f>
        <v>1500</v>
      </c>
      <c r="I12" s="1"/>
    </row>
    <row r="13" spans="1:9" ht="16.5" x14ac:dyDescent="0.3">
      <c r="A13" s="49" t="s">
        <v>8</v>
      </c>
      <c r="B13" s="41">
        <f>B6-B12</f>
        <v>2800</v>
      </c>
      <c r="C13" s="20">
        <f>ROUND((C7*C12),0)</f>
        <v>1012500</v>
      </c>
      <c r="D13" s="12"/>
      <c r="E13" s="3"/>
      <c r="F13">
        <v>2500</v>
      </c>
      <c r="I13" s="1"/>
    </row>
    <row r="14" spans="1:9" ht="16.5" x14ac:dyDescent="0.3">
      <c r="A14" s="49" t="s">
        <v>2</v>
      </c>
      <c r="B14" s="41">
        <f>B5</f>
        <v>22700</v>
      </c>
      <c r="C14" s="20">
        <v>1875</v>
      </c>
      <c r="D14" s="34" t="s">
        <v>26</v>
      </c>
      <c r="E14" s="3"/>
      <c r="F14">
        <v>1500</v>
      </c>
      <c r="I14" s="1"/>
    </row>
    <row r="15" spans="1:9" ht="16.5" x14ac:dyDescent="0.3">
      <c r="A15" s="49" t="s">
        <v>9</v>
      </c>
      <c r="B15" s="41">
        <f>B14+B13</f>
        <v>25500</v>
      </c>
      <c r="C15" s="17">
        <v>4000</v>
      </c>
      <c r="D15" s="34" t="s">
        <v>37</v>
      </c>
      <c r="E15" s="3"/>
      <c r="I15" s="1"/>
    </row>
    <row r="16" spans="1:9" ht="16.5" x14ac:dyDescent="0.3">
      <c r="A16" s="52" t="s">
        <v>13</v>
      </c>
      <c r="B16" s="52">
        <v>350</v>
      </c>
      <c r="C16" s="15">
        <f>C15*C14</f>
        <v>7500000</v>
      </c>
      <c r="D16" s="4"/>
      <c r="E16" s="3"/>
      <c r="I16" s="1"/>
    </row>
    <row r="17" spans="1:15" ht="16.5" x14ac:dyDescent="0.3">
      <c r="A17" s="52" t="s">
        <v>10</v>
      </c>
      <c r="B17" s="53">
        <f>B16*B15</f>
        <v>8925000</v>
      </c>
      <c r="C17" s="16">
        <f>C16-C13</f>
        <v>6487500</v>
      </c>
      <c r="D17" s="21"/>
      <c r="E17" s="6"/>
      <c r="I17" s="1"/>
      <c r="O17" s="2"/>
    </row>
    <row r="18" spans="1:15" ht="16.5" x14ac:dyDescent="0.3">
      <c r="A18" s="52" t="s">
        <v>14</v>
      </c>
      <c r="B18" s="53">
        <f>B17*0.9</f>
        <v>8032500</v>
      </c>
      <c r="C18" s="16">
        <f>C17*0.9</f>
        <v>5838750</v>
      </c>
      <c r="D18" s="4"/>
      <c r="E18" s="3"/>
      <c r="F18" s="2"/>
      <c r="I18" s="1"/>
      <c r="O18" s="2"/>
    </row>
    <row r="19" spans="1:15" ht="16.5" x14ac:dyDescent="0.3">
      <c r="A19" s="52" t="s">
        <v>15</v>
      </c>
      <c r="B19" s="53">
        <f>B17*0.8</f>
        <v>7140000</v>
      </c>
      <c r="C19" s="16">
        <f>C17*0.8</f>
        <v>5190000</v>
      </c>
      <c r="D19" s="4"/>
      <c r="E19" s="3"/>
      <c r="F19" s="58">
        <f>C17*0.04/12</f>
        <v>21625</v>
      </c>
      <c r="I19" s="1"/>
      <c r="O19" s="2"/>
    </row>
    <row r="20" spans="1:15" ht="16.5" x14ac:dyDescent="0.3">
      <c r="A20" s="52" t="s">
        <v>11</v>
      </c>
      <c r="B20" s="53">
        <f>E11*B4</f>
        <v>0</v>
      </c>
      <c r="C20" s="16">
        <f>C17*0.025/12</f>
        <v>13515.625</v>
      </c>
      <c r="D20" s="10"/>
      <c r="E20" s="2"/>
      <c r="F20" s="2"/>
      <c r="G20" s="2"/>
      <c r="I20" s="1"/>
    </row>
    <row r="21" spans="1:15" ht="16.5" x14ac:dyDescent="0.3">
      <c r="A21" s="49" t="s">
        <v>12</v>
      </c>
      <c r="B21" s="54">
        <f>B17*0.025/12</f>
        <v>18593.75</v>
      </c>
      <c r="C21" s="57"/>
      <c r="D21" s="22"/>
      <c r="E21" s="2"/>
      <c r="I21" s="2"/>
    </row>
    <row r="22" spans="1:15" x14ac:dyDescent="0.25">
      <c r="B22" s="55"/>
      <c r="C22" s="6"/>
      <c r="F22" s="24" t="s">
        <v>30</v>
      </c>
    </row>
    <row r="23" spans="1:15" x14ac:dyDescent="0.25">
      <c r="A23"/>
      <c r="B23" s="2"/>
      <c r="C23" s="2"/>
    </row>
    <row r="24" spans="1:15" x14ac:dyDescent="0.25">
      <c r="A24" s="23" t="s">
        <v>29</v>
      </c>
      <c r="B24" s="2"/>
      <c r="C24" s="2"/>
    </row>
    <row r="25" spans="1:15" x14ac:dyDescent="0.25">
      <c r="A25"/>
      <c r="B25" s="2"/>
      <c r="C25" s="2"/>
    </row>
    <row r="26" spans="1:15" x14ac:dyDescent="0.25">
      <c r="A26"/>
      <c r="B26" s="2"/>
      <c r="C26" s="2"/>
      <c r="F26" t="s">
        <v>16</v>
      </c>
    </row>
    <row r="27" spans="1:15" x14ac:dyDescent="0.25">
      <c r="A27" s="24" t="s">
        <v>39</v>
      </c>
      <c r="B27" s="44">
        <v>3900000</v>
      </c>
      <c r="C27" s="2"/>
    </row>
    <row r="28" spans="1:15" x14ac:dyDescent="0.25">
      <c r="A28" s="24" t="s">
        <v>38</v>
      </c>
      <c r="B28" s="44"/>
      <c r="C28" s="2"/>
    </row>
    <row r="29" spans="1:15" x14ac:dyDescent="0.25">
      <c r="A29"/>
      <c r="B29" s="2"/>
      <c r="C29" s="2"/>
    </row>
    <row r="30" spans="1:15" ht="18.75" x14ac:dyDescent="0.3">
      <c r="A30"/>
      <c r="B30" s="2"/>
      <c r="C30" s="2"/>
      <c r="E30" s="56" t="s">
        <v>43</v>
      </c>
      <c r="F30" s="56"/>
    </row>
    <row r="31" spans="1:15" ht="18.75" x14ac:dyDescent="0.3">
      <c r="A31"/>
      <c r="B31" s="2"/>
      <c r="C31" s="2"/>
      <c r="E31" s="56" t="s">
        <v>44</v>
      </c>
      <c r="F31" s="56"/>
    </row>
    <row r="32" spans="1:15" ht="18.75" x14ac:dyDescent="0.3">
      <c r="A32"/>
      <c r="B32" s="2"/>
      <c r="C32" s="2"/>
      <c r="E32" s="38" t="s">
        <v>42</v>
      </c>
      <c r="F32" s="38">
        <f>C17</f>
        <v>6487500</v>
      </c>
    </row>
    <row r="33" spans="1:11" ht="18.75" x14ac:dyDescent="0.3">
      <c r="A33"/>
      <c r="B33"/>
      <c r="C33"/>
      <c r="E33" s="38" t="s">
        <v>14</v>
      </c>
      <c r="F33" s="38">
        <f>C18</f>
        <v>5838750</v>
      </c>
    </row>
    <row r="34" spans="1:11" ht="18.75" x14ac:dyDescent="0.3">
      <c r="E34" s="38" t="s">
        <v>15</v>
      </c>
      <c r="F34" s="38">
        <f>C19</f>
        <v>5190000</v>
      </c>
    </row>
    <row r="35" spans="1:11" x14ac:dyDescent="0.25">
      <c r="F35" s="2"/>
    </row>
    <row r="36" spans="1:11" ht="17.25" x14ac:dyDescent="0.3">
      <c r="F36" s="2"/>
      <c r="K36" s="7"/>
    </row>
    <row r="37" spans="1:11" ht="17.25" x14ac:dyDescent="0.3">
      <c r="F37" s="2"/>
      <c r="K37" s="7"/>
    </row>
    <row r="38" spans="1:11" x14ac:dyDescent="0.25">
      <c r="F38" s="2"/>
    </row>
    <row r="39" spans="1:11" x14ac:dyDescent="0.25">
      <c r="F39" s="2"/>
    </row>
    <row r="40" spans="1:11" x14ac:dyDescent="0.25">
      <c r="F40" s="2"/>
    </row>
    <row r="41" spans="1:11" x14ac:dyDescent="0.25">
      <c r="F41" s="2"/>
    </row>
    <row r="42" spans="1:11" x14ac:dyDescent="0.25">
      <c r="F42" s="2"/>
    </row>
    <row r="43" spans="1:11" x14ac:dyDescent="0.25">
      <c r="F43" s="2"/>
    </row>
    <row r="44" spans="1:11" x14ac:dyDescent="0.25">
      <c r="F44" s="2"/>
    </row>
    <row r="45" spans="1:11" x14ac:dyDescent="0.25">
      <c r="F45" s="2"/>
    </row>
    <row r="46" spans="1:11" x14ac:dyDescent="0.25">
      <c r="F46" s="2"/>
    </row>
    <row r="47" spans="1:11" ht="15.75" x14ac:dyDescent="0.25">
      <c r="A47" s="43"/>
      <c r="F47" s="2"/>
    </row>
    <row r="48" spans="1:11" ht="15.75" x14ac:dyDescent="0.25">
      <c r="A48" s="43"/>
    </row>
    <row r="49" spans="1:1" ht="15.75" x14ac:dyDescent="0.25">
      <c r="A49" s="43"/>
    </row>
    <row r="50" spans="1:1" ht="15.75" x14ac:dyDescent="0.25">
      <c r="A50" s="43"/>
    </row>
    <row r="51" spans="1:1" ht="15.75" x14ac:dyDescent="0.25">
      <c r="A51" s="43"/>
    </row>
    <row r="52" spans="1:1" ht="15.75" x14ac:dyDescent="0.25">
      <c r="A52" s="43"/>
    </row>
    <row r="53" spans="1:1" ht="15.75" x14ac:dyDescent="0.25">
      <c r="A53" s="43"/>
    </row>
    <row r="73" spans="4:6" x14ac:dyDescent="0.25">
      <c r="D73" s="2"/>
      <c r="E73" s="2"/>
      <c r="F73" s="2"/>
    </row>
  </sheetData>
  <mergeCells count="2">
    <mergeCell ref="E30:F30"/>
    <mergeCell ref="E31:F3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0"/>
  <sheetViews>
    <sheetView workbookViewId="0">
      <selection activeCell="M15" sqref="M15"/>
    </sheetView>
  </sheetViews>
  <sheetFormatPr defaultRowHeight="15" x14ac:dyDescent="0.25"/>
  <cols>
    <col min="5" max="5" width="14.28515625" customWidth="1"/>
    <col min="6" max="6" width="14.7109375" customWidth="1"/>
    <col min="7" max="7" width="13.140625" customWidth="1"/>
    <col min="13" max="13" width="13.85546875" customWidth="1"/>
    <col min="14" max="14" width="16.28515625" customWidth="1"/>
    <col min="15" max="15" width="12.5703125" customWidth="1"/>
    <col min="16" max="16" width="16.140625" customWidth="1"/>
  </cols>
  <sheetData>
    <row r="1" spans="1:16" ht="60" x14ac:dyDescent="0.25">
      <c r="A1" s="25" t="s">
        <v>19</v>
      </c>
      <c r="B1" s="25" t="s">
        <v>13</v>
      </c>
      <c r="C1" s="25" t="s">
        <v>46</v>
      </c>
      <c r="D1" s="25" t="s">
        <v>20</v>
      </c>
      <c r="E1" s="25" t="s">
        <v>10</v>
      </c>
      <c r="F1" s="25" t="s">
        <v>21</v>
      </c>
      <c r="G1" s="25" t="s">
        <v>22</v>
      </c>
      <c r="H1" s="25" t="s">
        <v>23</v>
      </c>
      <c r="I1" s="25" t="s">
        <v>24</v>
      </c>
      <c r="J1" s="25" t="s">
        <v>25</v>
      </c>
      <c r="K1" s="25"/>
      <c r="L1" s="25" t="s">
        <v>26</v>
      </c>
      <c r="M1" s="25" t="s">
        <v>40</v>
      </c>
      <c r="N1" s="25" t="s">
        <v>10</v>
      </c>
      <c r="O1" s="25" t="s">
        <v>27</v>
      </c>
      <c r="P1" s="25" t="s">
        <v>28</v>
      </c>
    </row>
    <row r="2" spans="1:16" x14ac:dyDescent="0.25">
      <c r="B2">
        <f>C2/1.2</f>
        <v>1833.3333333333335</v>
      </c>
      <c r="C2">
        <v>2200</v>
      </c>
      <c r="D2" s="26">
        <f>C2*1.2</f>
        <v>2640</v>
      </c>
      <c r="E2" s="26">
        <v>8500000</v>
      </c>
      <c r="F2" s="39">
        <f>E2/B2</f>
        <v>4636.363636363636</v>
      </c>
      <c r="G2" s="40">
        <f>E2/C2</f>
        <v>3863.6363636363635</v>
      </c>
      <c r="H2">
        <f>E2/D2</f>
        <v>3219.6969696969695</v>
      </c>
      <c r="I2" t="s">
        <v>45</v>
      </c>
      <c r="K2">
        <v>148.69999999999999</v>
      </c>
      <c r="L2" s="28">
        <v>1600</v>
      </c>
      <c r="M2" s="26">
        <f>L2*1.2</f>
        <v>1920</v>
      </c>
      <c r="N2" s="26">
        <v>8865901</v>
      </c>
      <c r="O2" s="45">
        <f>N2/L2</f>
        <v>5541.1881249999997</v>
      </c>
      <c r="P2" s="39">
        <f>N2/M2</f>
        <v>4617.6567708333332</v>
      </c>
    </row>
    <row r="3" spans="1:16" x14ac:dyDescent="0.25">
      <c r="B3">
        <f t="shared" ref="B3:B4" si="0">C3/1.2</f>
        <v>2500</v>
      </c>
      <c r="C3">
        <v>3000</v>
      </c>
      <c r="D3" s="26">
        <f>C3*1.2</f>
        <v>3600</v>
      </c>
      <c r="E3" s="26">
        <v>10000000</v>
      </c>
      <c r="F3" s="39">
        <f t="shared" ref="F3:F6" si="1">E3/B3</f>
        <v>4000</v>
      </c>
      <c r="G3" s="27">
        <f t="shared" ref="G3:G7" si="2">E3/C3</f>
        <v>3333.3333333333335</v>
      </c>
      <c r="H3">
        <f t="shared" ref="H3:H7" si="3">E3/D3</f>
        <v>2777.7777777777778</v>
      </c>
      <c r="I3">
        <v>10</v>
      </c>
      <c r="L3" s="28">
        <v>3250</v>
      </c>
      <c r="M3" s="26">
        <f>L3*1.2</f>
        <v>3900</v>
      </c>
      <c r="N3" s="26">
        <v>12112500</v>
      </c>
      <c r="O3" s="39">
        <f t="shared" ref="O3:O4" si="4">N3/L3</f>
        <v>3726.9230769230771</v>
      </c>
      <c r="P3" s="26">
        <f t="shared" ref="P3:P4" si="5">N3/M3</f>
        <v>3105.7692307692309</v>
      </c>
    </row>
    <row r="4" spans="1:16" x14ac:dyDescent="0.25">
      <c r="B4">
        <f t="shared" si="0"/>
        <v>5221.666666666667</v>
      </c>
      <c r="C4">
        <v>6266</v>
      </c>
      <c r="D4" s="26">
        <f>C4*1.2</f>
        <v>7519.2</v>
      </c>
      <c r="E4" s="26">
        <v>25200000</v>
      </c>
      <c r="F4" s="39">
        <f t="shared" si="1"/>
        <v>4826.0453239706349</v>
      </c>
      <c r="G4" s="40">
        <f t="shared" si="2"/>
        <v>4021.704436642196</v>
      </c>
      <c r="H4">
        <f t="shared" si="3"/>
        <v>3351.4203638684967</v>
      </c>
      <c r="L4" s="28">
        <v>1324</v>
      </c>
      <c r="M4" s="26">
        <v>1655</v>
      </c>
      <c r="N4" s="26">
        <v>4900000</v>
      </c>
      <c r="O4" s="26">
        <f t="shared" si="4"/>
        <v>3700.906344410876</v>
      </c>
      <c r="P4" s="26">
        <f t="shared" si="5"/>
        <v>2960.7250755287009</v>
      </c>
    </row>
    <row r="5" spans="1:16" x14ac:dyDescent="0.25">
      <c r="B5" s="29"/>
      <c r="D5" s="26"/>
      <c r="E5" s="26"/>
      <c r="F5" s="26" t="e">
        <f t="shared" si="1"/>
        <v>#DIV/0!</v>
      </c>
      <c r="G5" s="27" t="e">
        <f t="shared" si="2"/>
        <v>#DIV/0!</v>
      </c>
      <c r="H5" t="e">
        <f t="shared" si="3"/>
        <v>#DIV/0!</v>
      </c>
      <c r="I5">
        <v>7</v>
      </c>
      <c r="L5" s="28"/>
      <c r="M5" s="26"/>
      <c r="N5" s="26"/>
      <c r="O5" s="26"/>
      <c r="P5" s="26"/>
    </row>
    <row r="6" spans="1:16" x14ac:dyDescent="0.25">
      <c r="D6" s="26"/>
      <c r="E6" s="26"/>
      <c r="F6" s="26" t="e">
        <f t="shared" si="1"/>
        <v>#DIV/0!</v>
      </c>
      <c r="G6" s="27" t="e">
        <f t="shared" si="2"/>
        <v>#DIV/0!</v>
      </c>
      <c r="H6" t="e">
        <f t="shared" si="3"/>
        <v>#DIV/0!</v>
      </c>
      <c r="L6" s="26"/>
      <c r="M6" s="26"/>
      <c r="N6" s="26"/>
      <c r="O6" s="26"/>
      <c r="P6" s="26"/>
    </row>
    <row r="7" spans="1:16" x14ac:dyDescent="0.25">
      <c r="D7" s="26"/>
      <c r="E7" s="26"/>
      <c r="F7" s="26" t="e">
        <f t="shared" ref="F7:F10" si="6">ROUND((E7/B7),0)</f>
        <v>#DIV/0!</v>
      </c>
      <c r="G7" s="27" t="e">
        <f t="shared" si="2"/>
        <v>#DIV/0!</v>
      </c>
      <c r="H7" t="e">
        <f t="shared" si="3"/>
        <v>#DIV/0!</v>
      </c>
      <c r="L7" s="26"/>
      <c r="M7" s="26"/>
      <c r="N7" s="26"/>
      <c r="O7" s="26"/>
      <c r="P7" s="26"/>
    </row>
    <row r="8" spans="1:16" x14ac:dyDescent="0.25">
      <c r="C8">
        <f t="shared" ref="C8:C10" si="7">B8*1.1</f>
        <v>0</v>
      </c>
      <c r="D8" s="26">
        <f t="shared" ref="D8:D9" si="8">C8*1.2</f>
        <v>0</v>
      </c>
      <c r="E8" s="26"/>
      <c r="F8" s="26" t="e">
        <f t="shared" si="6"/>
        <v>#DIV/0!</v>
      </c>
      <c r="G8" s="27" t="e">
        <f t="shared" ref="G8:G9" si="9">F8/C8</f>
        <v>#DIV/0!</v>
      </c>
      <c r="H8" t="e">
        <f t="shared" ref="H8:H10" si="10">F8/D8</f>
        <v>#DIV/0!</v>
      </c>
      <c r="L8" s="26"/>
      <c r="M8" s="26" t="e">
        <f>#REF!*1.1</f>
        <v>#REF!</v>
      </c>
      <c r="N8" s="26"/>
      <c r="O8" s="26"/>
      <c r="P8" s="26"/>
    </row>
    <row r="9" spans="1:16" x14ac:dyDescent="0.25">
      <c r="C9">
        <f t="shared" si="7"/>
        <v>0</v>
      </c>
      <c r="D9" s="26">
        <f t="shared" si="8"/>
        <v>0</v>
      </c>
      <c r="E9" s="26"/>
      <c r="F9" s="26" t="e">
        <f t="shared" si="6"/>
        <v>#DIV/0!</v>
      </c>
      <c r="G9" s="27" t="e">
        <f t="shared" si="9"/>
        <v>#DIV/0!</v>
      </c>
      <c r="H9" t="e">
        <f t="shared" si="10"/>
        <v>#DIV/0!</v>
      </c>
      <c r="L9" s="26"/>
      <c r="M9" s="26" t="e">
        <f>#REF!*1.1</f>
        <v>#REF!</v>
      </c>
      <c r="N9" s="26"/>
      <c r="O9" s="26"/>
      <c r="P9" s="26"/>
    </row>
    <row r="10" spans="1:16" x14ac:dyDescent="0.25">
      <c r="C10">
        <f t="shared" si="7"/>
        <v>0</v>
      </c>
      <c r="D10" s="26">
        <v>0</v>
      </c>
      <c r="E10" s="26"/>
      <c r="F10" s="26" t="e">
        <f t="shared" si="6"/>
        <v>#DIV/0!</v>
      </c>
      <c r="G10" t="e">
        <f t="shared" ref="G10" si="11">ROUND((E10/C10),0)</f>
        <v>#DIV/0!</v>
      </c>
      <c r="H10" t="e">
        <f t="shared" si="10"/>
        <v>#DIV/0!</v>
      </c>
      <c r="L10" s="26"/>
      <c r="M10" s="26" t="e">
        <f>#REF!*1.1</f>
        <v>#REF!</v>
      </c>
      <c r="N10" s="26"/>
      <c r="O10" s="26"/>
      <c r="P10" s="2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CAF63-7767-445C-929D-A6F89A2F1E79}">
  <dimension ref="R53:S53"/>
  <sheetViews>
    <sheetView topLeftCell="A28" zoomScale="115" zoomScaleNormal="115" workbookViewId="0">
      <selection activeCell="R54" sqref="R54"/>
    </sheetView>
  </sheetViews>
  <sheetFormatPr defaultRowHeight="15" x14ac:dyDescent="0.25"/>
  <sheetData>
    <row r="53" spans="18:19" x14ac:dyDescent="0.25">
      <c r="R53" t="s">
        <v>31</v>
      </c>
      <c r="S53">
        <v>2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5778-04D1-4B15-B879-803A53A3B15A}">
  <dimension ref="A1"/>
  <sheetViews>
    <sheetView topLeftCell="A34" workbookViewId="0">
      <selection activeCell="R107" sqref="R10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019D8A-9A9D-4E77-B4AF-BA97FC50BD35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Cal</vt:lpstr>
      <vt:lpstr>20-20</vt:lpstr>
      <vt:lpstr>Area</vt:lpstr>
      <vt:lpstr>rate</vt:lpstr>
      <vt:lpstr>RR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2025-02-10T12:49:15Z</dcterms:modified>
</cp:coreProperties>
</file>