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uation Work\Land &amp; Building Folder\Solapur Bio engergy Pvt Ltd\Solapur Factory\"/>
    </mc:Choice>
  </mc:AlternateContent>
  <xr:revisionPtr revIDLastSave="0" documentId="13_ncr:1_{A05AA491-05B1-4A73-8933-8E37DC6314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 (2)" sheetId="11" r:id="rId1"/>
    <sheet name="Valuation VCIPL" sheetId="4" r:id="rId2"/>
    <sheet name="Cal till lease period" sheetId="10" r:id="rId3"/>
    <sheet name="Sheet1" sheetId="5" r:id="rId4"/>
  </sheets>
  <calcPr calcId="191029"/>
</workbook>
</file>

<file path=xl/calcChain.xml><?xml version="1.0" encoding="utf-8"?>
<calcChain xmlns="http://schemas.openxmlformats.org/spreadsheetml/2006/main">
  <c r="G43" i="11" l="1"/>
  <c r="F42" i="11"/>
  <c r="B42" i="11"/>
  <c r="C42" i="11" s="1"/>
  <c r="G42" i="11" s="1"/>
  <c r="B41" i="11"/>
  <c r="F41" i="11" s="1"/>
  <c r="B40" i="11"/>
  <c r="F40" i="11" s="1"/>
  <c r="F39" i="11"/>
  <c r="C39" i="11"/>
  <c r="G39" i="11" s="1"/>
  <c r="B39" i="11"/>
  <c r="H35" i="11"/>
  <c r="F35" i="11"/>
  <c r="C35" i="11"/>
  <c r="G35" i="11" s="1"/>
  <c r="H34" i="11"/>
  <c r="G34" i="11"/>
  <c r="F34" i="11"/>
  <c r="D34" i="11"/>
  <c r="C34" i="11"/>
  <c r="I33" i="11"/>
  <c r="H33" i="11"/>
  <c r="F33" i="11"/>
  <c r="C33" i="11"/>
  <c r="G33" i="11" s="1"/>
  <c r="I32" i="11"/>
  <c r="H32" i="11"/>
  <c r="G32" i="11"/>
  <c r="F32" i="11"/>
  <c r="C32" i="11"/>
  <c r="I31" i="11"/>
  <c r="H31" i="11"/>
  <c r="G31" i="11"/>
  <c r="F31" i="11"/>
  <c r="C31" i="11"/>
  <c r="I30" i="11"/>
  <c r="H30" i="11"/>
  <c r="F30" i="11"/>
  <c r="C30" i="11"/>
  <c r="G30" i="11" s="1"/>
  <c r="C23" i="11"/>
  <c r="D23" i="11" s="1"/>
  <c r="B23" i="11"/>
  <c r="D19" i="11"/>
  <c r="C18" i="11"/>
  <c r="B18" i="11"/>
  <c r="D18" i="11" s="1"/>
  <c r="G17" i="11"/>
  <c r="G21" i="11" s="1"/>
  <c r="E14" i="11"/>
  <c r="C10" i="11"/>
  <c r="C11" i="11" s="1"/>
  <c r="C12" i="11" s="1"/>
  <c r="B10" i="11"/>
  <c r="B11" i="11" s="1"/>
  <c r="B12" i="11" s="1"/>
  <c r="G8" i="11"/>
  <c r="H8" i="11" s="1"/>
  <c r="F8" i="11"/>
  <c r="F9" i="11" s="1"/>
  <c r="E8" i="11"/>
  <c r="E9" i="11" s="1"/>
  <c r="C8" i="11"/>
  <c r="B8" i="11"/>
  <c r="C6" i="11"/>
  <c r="B6" i="11"/>
  <c r="C5" i="11"/>
  <c r="C14" i="11" s="1"/>
  <c r="B5" i="11"/>
  <c r="B14" i="11" s="1"/>
  <c r="G3" i="11"/>
  <c r="B42" i="4"/>
  <c r="B24" i="4"/>
  <c r="B42" i="10"/>
  <c r="B31" i="10"/>
  <c r="B41" i="10" s="1"/>
  <c r="I25" i="10"/>
  <c r="G25" i="10"/>
  <c r="J25" i="10" s="1"/>
  <c r="K25" i="10" s="1"/>
  <c r="L25" i="10" s="1"/>
  <c r="N25" i="10" s="1"/>
  <c r="B25" i="10"/>
  <c r="O25" i="10" s="1"/>
  <c r="A25" i="10"/>
  <c r="G24" i="10"/>
  <c r="J24" i="10" s="1"/>
  <c r="K24" i="10" s="1"/>
  <c r="L24" i="10" s="1"/>
  <c r="B24" i="10"/>
  <c r="O24" i="10" s="1"/>
  <c r="A24" i="10"/>
  <c r="J23" i="10"/>
  <c r="K23" i="10" s="1"/>
  <c r="L23" i="10" s="1"/>
  <c r="N23" i="10" s="1"/>
  <c r="I23" i="10"/>
  <c r="G23" i="10"/>
  <c r="B23" i="10"/>
  <c r="O23" i="10" s="1"/>
  <c r="A23" i="10"/>
  <c r="G22" i="10"/>
  <c r="J22" i="10" s="1"/>
  <c r="K22" i="10" s="1"/>
  <c r="L22" i="10" s="1"/>
  <c r="N22" i="10" s="1"/>
  <c r="B22" i="10"/>
  <c r="O22" i="10" s="1"/>
  <c r="M22" i="10" s="1"/>
  <c r="A22" i="10"/>
  <c r="J21" i="10"/>
  <c r="K21" i="10" s="1"/>
  <c r="L21" i="10" s="1"/>
  <c r="N21" i="10" s="1"/>
  <c r="I21" i="10"/>
  <c r="G21" i="10"/>
  <c r="B21" i="10"/>
  <c r="O21" i="10" s="1"/>
  <c r="A21" i="10"/>
  <c r="G20" i="10"/>
  <c r="J20" i="10" s="1"/>
  <c r="K20" i="10" s="1"/>
  <c r="L20" i="10" s="1"/>
  <c r="N20" i="10" s="1"/>
  <c r="B20" i="10"/>
  <c r="O20" i="10" s="1"/>
  <c r="M20" i="10" s="1"/>
  <c r="A20" i="10"/>
  <c r="J19" i="10"/>
  <c r="K19" i="10" s="1"/>
  <c r="L19" i="10" s="1"/>
  <c r="N19" i="10" s="1"/>
  <c r="I19" i="10"/>
  <c r="G19" i="10"/>
  <c r="B19" i="10"/>
  <c r="O19" i="10" s="1"/>
  <c r="A19" i="10"/>
  <c r="G18" i="10"/>
  <c r="J18" i="10" s="1"/>
  <c r="K18" i="10" s="1"/>
  <c r="L18" i="10" s="1"/>
  <c r="N18" i="10" s="1"/>
  <c r="B18" i="10"/>
  <c r="O18" i="10" s="1"/>
  <c r="M18" i="10" s="1"/>
  <c r="A18" i="10"/>
  <c r="J17" i="10"/>
  <c r="K17" i="10" s="1"/>
  <c r="L17" i="10" s="1"/>
  <c r="N17" i="10" s="1"/>
  <c r="I17" i="10"/>
  <c r="G17" i="10"/>
  <c r="B17" i="10"/>
  <c r="O17" i="10" s="1"/>
  <c r="A17" i="10"/>
  <c r="G16" i="10"/>
  <c r="J16" i="10" s="1"/>
  <c r="K16" i="10" s="1"/>
  <c r="L16" i="10" s="1"/>
  <c r="N16" i="10" s="1"/>
  <c r="B16" i="10"/>
  <c r="O16" i="10" s="1"/>
  <c r="M16" i="10" s="1"/>
  <c r="A16" i="10"/>
  <c r="J15" i="10"/>
  <c r="K15" i="10" s="1"/>
  <c r="L15" i="10" s="1"/>
  <c r="N15" i="10" s="1"/>
  <c r="I15" i="10"/>
  <c r="G15" i="10"/>
  <c r="B15" i="10"/>
  <c r="O15" i="10" s="1"/>
  <c r="A15" i="10"/>
  <c r="G14" i="10"/>
  <c r="J14" i="10" s="1"/>
  <c r="K14" i="10" s="1"/>
  <c r="L14" i="10" s="1"/>
  <c r="N14" i="10" s="1"/>
  <c r="B14" i="10"/>
  <c r="O14" i="10" s="1"/>
  <c r="M14" i="10" s="1"/>
  <c r="A14" i="10"/>
  <c r="J13" i="10"/>
  <c r="K13" i="10" s="1"/>
  <c r="L13" i="10" s="1"/>
  <c r="N13" i="10" s="1"/>
  <c r="I13" i="10"/>
  <c r="G13" i="10"/>
  <c r="B13" i="10"/>
  <c r="O13" i="10" s="1"/>
  <c r="A13" i="10"/>
  <c r="G12" i="10"/>
  <c r="J12" i="10" s="1"/>
  <c r="K12" i="10" s="1"/>
  <c r="L12" i="10" s="1"/>
  <c r="N12" i="10" s="1"/>
  <c r="B12" i="10"/>
  <c r="O12" i="10" s="1"/>
  <c r="M12" i="10" s="1"/>
  <c r="A12" i="10"/>
  <c r="J11" i="10"/>
  <c r="K11" i="10" s="1"/>
  <c r="L11" i="10" s="1"/>
  <c r="N11" i="10" s="1"/>
  <c r="I11" i="10"/>
  <c r="G11" i="10"/>
  <c r="B11" i="10"/>
  <c r="O11" i="10" s="1"/>
  <c r="A11" i="10"/>
  <c r="A10" i="10"/>
  <c r="G9" i="10"/>
  <c r="J9" i="10" s="1"/>
  <c r="K9" i="10" s="1"/>
  <c r="L9" i="10" s="1"/>
  <c r="N9" i="10" s="1"/>
  <c r="B9" i="10"/>
  <c r="B34" i="10" s="1"/>
  <c r="A9" i="10"/>
  <c r="C4" i="10"/>
  <c r="B4" i="10"/>
  <c r="B39" i="10" s="1"/>
  <c r="F2" i="5"/>
  <c r="G23" i="4"/>
  <c r="I23" i="4" s="1"/>
  <c r="G24" i="4"/>
  <c r="I24" i="4" s="1"/>
  <c r="G25" i="4"/>
  <c r="I25" i="4" s="1"/>
  <c r="J25" i="4"/>
  <c r="K25" i="4" s="1"/>
  <c r="L25" i="4" s="1"/>
  <c r="A25" i="4"/>
  <c r="B25" i="4"/>
  <c r="O25" i="4" s="1"/>
  <c r="A23" i="4"/>
  <c r="B23" i="4"/>
  <c r="O23" i="4" s="1"/>
  <c r="A24" i="4"/>
  <c r="O24" i="4"/>
  <c r="D18" i="5"/>
  <c r="G11" i="4"/>
  <c r="I11" i="4" s="1"/>
  <c r="G12" i="4"/>
  <c r="I12" i="4" s="1"/>
  <c r="G13" i="4"/>
  <c r="I13" i="4" s="1"/>
  <c r="G14" i="4"/>
  <c r="I14" i="4" s="1"/>
  <c r="G15" i="4"/>
  <c r="I15" i="4" s="1"/>
  <c r="G16" i="4"/>
  <c r="I16" i="4" s="1"/>
  <c r="G17" i="4"/>
  <c r="I17" i="4" s="1"/>
  <c r="G18" i="4"/>
  <c r="I18" i="4" s="1"/>
  <c r="G19" i="4"/>
  <c r="I19" i="4" s="1"/>
  <c r="G20" i="4"/>
  <c r="I20" i="4" s="1"/>
  <c r="G21" i="4"/>
  <c r="I21" i="4" s="1"/>
  <c r="G22" i="4"/>
  <c r="I22" i="4" s="1"/>
  <c r="B11" i="4"/>
  <c r="O11" i="4" s="1"/>
  <c r="B12" i="4"/>
  <c r="O12" i="4" s="1"/>
  <c r="B13" i="4"/>
  <c r="O13" i="4" s="1"/>
  <c r="B14" i="4"/>
  <c r="O14" i="4" s="1"/>
  <c r="B15" i="4"/>
  <c r="O15" i="4" s="1"/>
  <c r="B16" i="4"/>
  <c r="O16" i="4" s="1"/>
  <c r="B17" i="4"/>
  <c r="O17" i="4" s="1"/>
  <c r="B18" i="4"/>
  <c r="O18" i="4" s="1"/>
  <c r="B19" i="4"/>
  <c r="O19" i="4" s="1"/>
  <c r="B20" i="4"/>
  <c r="O20" i="4" s="1"/>
  <c r="B21" i="4"/>
  <c r="O21" i="4" s="1"/>
  <c r="B22" i="4"/>
  <c r="O22" i="4" s="1"/>
  <c r="B9" i="4"/>
  <c r="A22" i="4"/>
  <c r="A10" i="4"/>
  <c r="A11" i="4"/>
  <c r="A12" i="4"/>
  <c r="A13" i="4"/>
  <c r="A14" i="4"/>
  <c r="A15" i="4"/>
  <c r="A16" i="4"/>
  <c r="A17" i="4"/>
  <c r="A18" i="4"/>
  <c r="A19" i="4"/>
  <c r="A20" i="4"/>
  <c r="A21" i="4"/>
  <c r="A9" i="4"/>
  <c r="D8" i="5"/>
  <c r="B34" i="4"/>
  <c r="B13" i="11" l="1"/>
  <c r="B15" i="11" s="1"/>
  <c r="C13" i="11"/>
  <c r="C15" i="11" s="1"/>
  <c r="C17" i="11" s="1"/>
  <c r="C40" i="11"/>
  <c r="G40" i="11" s="1"/>
  <c r="C41" i="11"/>
  <c r="G41" i="11" s="1"/>
  <c r="N24" i="10"/>
  <c r="N26" i="10" s="1"/>
  <c r="M24" i="10"/>
  <c r="N25" i="4"/>
  <c r="M13" i="10"/>
  <c r="M15" i="10"/>
  <c r="M17" i="10"/>
  <c r="M19" i="10"/>
  <c r="M21" i="10"/>
  <c r="M23" i="10"/>
  <c r="M25" i="10"/>
  <c r="M11" i="10"/>
  <c r="I9" i="10"/>
  <c r="I12" i="10"/>
  <c r="I14" i="10"/>
  <c r="I16" i="10"/>
  <c r="I18" i="10"/>
  <c r="I20" i="10"/>
  <c r="I22" i="10"/>
  <c r="I24" i="10"/>
  <c r="O9" i="10"/>
  <c r="J24" i="4"/>
  <c r="K24" i="4" s="1"/>
  <c r="L24" i="4" s="1"/>
  <c r="N24" i="4" s="1"/>
  <c r="M24" i="4" s="1"/>
  <c r="J23" i="4"/>
  <c r="K23" i="4" s="1"/>
  <c r="L23" i="4" s="1"/>
  <c r="N23" i="4" s="1"/>
  <c r="M23" i="4" s="1"/>
  <c r="M25" i="4"/>
  <c r="J22" i="4"/>
  <c r="K22" i="4" s="1"/>
  <c r="L22" i="4" s="1"/>
  <c r="N22" i="4" s="1"/>
  <c r="M22" i="4" s="1"/>
  <c r="J21" i="4"/>
  <c r="K21" i="4" s="1"/>
  <c r="L21" i="4" s="1"/>
  <c r="N21" i="4" s="1"/>
  <c r="M21" i="4" s="1"/>
  <c r="J20" i="4"/>
  <c r="K20" i="4" s="1"/>
  <c r="L20" i="4" s="1"/>
  <c r="N20" i="4" s="1"/>
  <c r="M20" i="4" s="1"/>
  <c r="J19" i="4"/>
  <c r="K19" i="4" s="1"/>
  <c r="L19" i="4" s="1"/>
  <c r="N19" i="4" s="1"/>
  <c r="M19" i="4" s="1"/>
  <c r="J18" i="4"/>
  <c r="K18" i="4" s="1"/>
  <c r="L18" i="4" s="1"/>
  <c r="N18" i="4" s="1"/>
  <c r="M18" i="4" s="1"/>
  <c r="J17" i="4"/>
  <c r="K17" i="4" s="1"/>
  <c r="L17" i="4" s="1"/>
  <c r="N17" i="4" s="1"/>
  <c r="M17" i="4" s="1"/>
  <c r="J16" i="4"/>
  <c r="K16" i="4" s="1"/>
  <c r="L16" i="4" s="1"/>
  <c r="N16" i="4" s="1"/>
  <c r="M16" i="4" s="1"/>
  <c r="J15" i="4"/>
  <c r="K15" i="4" s="1"/>
  <c r="L15" i="4" s="1"/>
  <c r="N15" i="4" s="1"/>
  <c r="M15" i="4" s="1"/>
  <c r="J14" i="4"/>
  <c r="K14" i="4" s="1"/>
  <c r="L14" i="4" s="1"/>
  <c r="N14" i="4" s="1"/>
  <c r="M14" i="4" s="1"/>
  <c r="J13" i="4"/>
  <c r="K13" i="4" s="1"/>
  <c r="L13" i="4" s="1"/>
  <c r="N13" i="4" s="1"/>
  <c r="M13" i="4" s="1"/>
  <c r="J12" i="4"/>
  <c r="K12" i="4" s="1"/>
  <c r="L12" i="4" s="1"/>
  <c r="N12" i="4" s="1"/>
  <c r="M12" i="4" s="1"/>
  <c r="J11" i="4"/>
  <c r="K11" i="4" s="1"/>
  <c r="L11" i="4" s="1"/>
  <c r="N11" i="4" s="1"/>
  <c r="M11" i="4" s="1"/>
  <c r="G9" i="4"/>
  <c r="I9" i="4" s="1"/>
  <c r="O9" i="4"/>
  <c r="C24" i="11" l="1"/>
  <c r="C20" i="11"/>
  <c r="H39" i="11"/>
  <c r="H41" i="11"/>
  <c r="H40" i="11"/>
  <c r="H42" i="11"/>
  <c r="B17" i="11"/>
  <c r="B47" i="10"/>
  <c r="B40" i="10"/>
  <c r="B43" i="10" s="1"/>
  <c r="B45" i="10" s="1"/>
  <c r="O26" i="10"/>
  <c r="B46" i="10" s="1"/>
  <c r="M9" i="10"/>
  <c r="M26" i="10" s="1"/>
  <c r="J9" i="4"/>
  <c r="K9" i="4" s="1"/>
  <c r="L9" i="4" s="1"/>
  <c r="D17" i="11" l="1"/>
  <c r="D20" i="11" s="1"/>
  <c r="B24" i="11"/>
  <c r="D24" i="11" s="1"/>
  <c r="B20" i="11"/>
  <c r="C21" i="11"/>
  <c r="C22" i="11"/>
  <c r="B44" i="10"/>
  <c r="N9" i="4"/>
  <c r="M9" i="4" s="1"/>
  <c r="B4" i="4"/>
  <c r="O26" i="4"/>
  <c r="B46" i="4" s="1"/>
  <c r="B21" i="11" l="1"/>
  <c r="B22" i="11"/>
  <c r="D22" i="11"/>
  <c r="D21" i="11"/>
  <c r="N26" i="4"/>
  <c r="B31" i="4"/>
  <c r="B41" i="4" s="1"/>
  <c r="C4" i="4"/>
  <c r="B39" i="4"/>
  <c r="B47" i="4" l="1"/>
  <c r="M26" i="4"/>
  <c r="B40" i="4" l="1"/>
  <c r="B43" i="4" s="1"/>
  <c r="B44" i="4" s="1"/>
  <c r="B45" i="4" l="1"/>
</calcChain>
</file>

<file path=xl/sharedStrings.xml><?xml version="1.0" encoding="utf-8"?>
<sst xmlns="http://schemas.openxmlformats.org/spreadsheetml/2006/main" count="181" uniqueCount="101">
  <si>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</si>
  <si>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</si>
  <si>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</si>
  <si>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</si>
  <si>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</si>
  <si>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</si>
  <si>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</si>
  <si>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</si>
  <si>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</si>
  <si>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</si>
  <si>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</si>
  <si>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</si>
  <si>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</si>
  <si>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</si>
  <si>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</si>
  <si>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</si>
  <si>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Estimated Replacement Rate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</si>
  <si>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</si>
  <si>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</si>
  <si>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</si>
  <si>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Total</t>
  </si>
  <si>
    <t>Interior and other Development</t>
  </si>
  <si>
    <t>Built up area</t>
  </si>
  <si>
    <t>Interior and Other Development</t>
  </si>
  <si>
    <t>Insurable Value</t>
  </si>
  <si>
    <t>Guideline Value</t>
  </si>
  <si>
    <t xml:space="preserve">Built Up Area </t>
  </si>
  <si>
    <t>Total Fair Market Value</t>
  </si>
  <si>
    <t xml:space="preserve"> </t>
  </si>
  <si>
    <t>Ground Floor</t>
  </si>
  <si>
    <t>Year of Const.</t>
  </si>
  <si>
    <t>Particulars</t>
  </si>
  <si>
    <t>Survey No. 361/8</t>
  </si>
  <si>
    <t>Sr.</t>
  </si>
  <si>
    <t>Structure</t>
  </si>
  <si>
    <t>Type of Structure</t>
  </si>
  <si>
    <t>Built Up Area in Sq. M.</t>
  </si>
  <si>
    <t>Security Cabin</t>
  </si>
  <si>
    <t>Admin Bldg.</t>
  </si>
  <si>
    <t>1st Floor</t>
  </si>
  <si>
    <t>Receving Shed</t>
  </si>
  <si>
    <t>Pre - Treatment Shed</t>
  </si>
  <si>
    <t>Toilet Block</t>
  </si>
  <si>
    <t>Paper Storage</t>
  </si>
  <si>
    <t>Maturation Shed</t>
  </si>
  <si>
    <t>Pilot Plant</t>
  </si>
  <si>
    <t>RO Plant</t>
  </si>
  <si>
    <t>Engine Room</t>
  </si>
  <si>
    <t>Panel Room</t>
  </si>
  <si>
    <t>Security Cabin &amp; Weigh Bridge Cabin</t>
  </si>
  <si>
    <t>Worker Room</t>
  </si>
  <si>
    <t>RCC Structure</t>
  </si>
  <si>
    <t>Year of Const. in Year</t>
  </si>
  <si>
    <t>PEB Structure with GI Sheet Roofing</t>
  </si>
  <si>
    <t>land area in Acres</t>
  </si>
  <si>
    <t>RCC Tank</t>
  </si>
  <si>
    <t>Digestor Tank in Litres</t>
  </si>
  <si>
    <t>RCC Foundation</t>
  </si>
  <si>
    <t>Pending Lease Period</t>
  </si>
  <si>
    <t>Year</t>
  </si>
  <si>
    <t>Pending Lease Period in Year</t>
  </si>
  <si>
    <t>Balance Life of Structures</t>
  </si>
  <si>
    <t>Age Of Build</t>
  </si>
  <si>
    <t>Sq. M.</t>
  </si>
  <si>
    <t>RR Rate of 2025</t>
  </si>
  <si>
    <t>Gas Holder Tank</t>
  </si>
  <si>
    <t>Value of the Property As on Date</t>
  </si>
  <si>
    <t>Flat No.</t>
  </si>
  <si>
    <t>Total Value</t>
  </si>
  <si>
    <t>Con. Year</t>
  </si>
  <si>
    <t>New Construction Rate</t>
  </si>
  <si>
    <t>Bldg.+Service (Cost of Construction)</t>
  </si>
  <si>
    <t>Land + Others</t>
  </si>
  <si>
    <t>Agreement carpet area</t>
  </si>
  <si>
    <t>Total Carpet Area</t>
  </si>
  <si>
    <t>Total Built up area</t>
  </si>
  <si>
    <t>Replacement Cost</t>
  </si>
  <si>
    <t>Age of the bldg.</t>
  </si>
  <si>
    <t>Estimated Life</t>
  </si>
  <si>
    <t>Total Life</t>
  </si>
  <si>
    <t>Depreciation (100-10)X12/60</t>
  </si>
  <si>
    <t>48 Lc</t>
  </si>
  <si>
    <t>Depreciation Amt</t>
  </si>
  <si>
    <t>Depreciated Bldg. Rate</t>
  </si>
  <si>
    <t>Measurement Carpet Area</t>
  </si>
  <si>
    <t>Total Composite Rate</t>
  </si>
  <si>
    <t>Area</t>
  </si>
  <si>
    <t>Interoir Cost</t>
  </si>
  <si>
    <t>Parking</t>
  </si>
  <si>
    <t>RV</t>
  </si>
  <si>
    <t>DV</t>
  </si>
  <si>
    <t>IV</t>
  </si>
  <si>
    <t>Rental Value</t>
  </si>
  <si>
    <t>Online</t>
  </si>
  <si>
    <t>Carpet</t>
  </si>
  <si>
    <t xml:space="preserve"> Built up Area</t>
  </si>
  <si>
    <t>SBA</t>
  </si>
  <si>
    <t>Rate on Carpet Area</t>
  </si>
  <si>
    <t>Rate on Built up Area</t>
  </si>
  <si>
    <t>Rate on Saleable Area</t>
  </si>
  <si>
    <t>Loading SB /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</si>
</sst>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FF0000"/>
      <name val="Arial Narrow"/>
      <family val="2"/>
    </font>
    <font>
      <b/>
      <sz val="11"/>
      <color rgb="FF000000"/>
      <name val="Calibri"/>
      <family val="2"/>
      <scheme val="minor"/>
    </font>
    <font>
      <b/>
      <sz val="14"/>
      <color theme="1"/>
      <name val="Arial Narrow"/>
      <family val="2"/>
    </font>
    <font>
      <u/>
      <sz val="12.65"/>
      <color theme="10"/>
      <name val="Calibri"/>
      <family val="2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1" fillId="0" borderId="0" xfId="1" applyFont="1"/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7" fillId="0" borderId="0" xfId="1" applyFont="1" applyBorder="1"/>
    <xf numFmtId="43" fontId="4" fillId="0" borderId="1" xfId="1" applyFont="1" applyBorder="1" applyAlignment="1">
      <alignment horizontal="center" vertical="top" wrapText="1" shrinkToFit="1"/>
    </xf>
    <xf numFmtId="43" fontId="1" fillId="0" borderId="0" xfId="1" applyFont="1" applyAlignment="1">
      <alignment vertical="top" wrapText="1"/>
    </xf>
    <xf numFmtId="43" fontId="3" fillId="0" borderId="0" xfId="1" applyFont="1"/>
    <xf numFmtId="43" fontId="10" fillId="0" borderId="1" xfId="1" applyFont="1" applyBorder="1"/>
    <xf numFmtId="43" fontId="1" fillId="0" borderId="0" xfId="1" applyFont="1" applyAlignment="1">
      <alignment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43" fontId="7" fillId="0" borderId="0" xfId="1" applyFont="1" applyAlignment="1">
      <alignment vertical="top"/>
    </xf>
    <xf numFmtId="43" fontId="1" fillId="0" borderId="1" xfId="1" applyFont="1" applyBorder="1"/>
    <xf numFmtId="43" fontId="3" fillId="0" borderId="0" xfId="0" applyNumberFormat="1" applyFont="1" applyAlignment="1">
      <alignment vertical="top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3" fontId="4" fillId="0" borderId="1" xfId="1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7" fillId="0" borderId="5" xfId="0" applyFont="1" applyBorder="1" applyAlignment="1">
      <alignment wrapText="1"/>
    </xf>
    <xf numFmtId="43" fontId="7" fillId="0" borderId="5" xfId="1" applyFont="1" applyBorder="1"/>
    <xf numFmtId="43" fontId="6" fillId="0" borderId="1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 wrapText="1"/>
    </xf>
    <xf numFmtId="0" fontId="0" fillId="0" borderId="6" xfId="0" applyBorder="1"/>
    <xf numFmtId="0" fontId="16" fillId="0" borderId="7" xfId="0" applyFont="1" applyBorder="1"/>
    <xf numFmtId="0" fontId="0" fillId="0" borderId="8" xfId="0" applyBorder="1"/>
    <xf numFmtId="0" fontId="10" fillId="0" borderId="1" xfId="0" applyFont="1" applyBorder="1" applyAlignment="1">
      <alignment horizontal="center" wrapText="1"/>
    </xf>
    <xf numFmtId="0" fontId="17" fillId="0" borderId="0" xfId="0" applyFont="1" applyAlignment="1">
      <alignment horizontal="center" vertical="center"/>
    </xf>
    <xf numFmtId="43" fontId="7" fillId="0" borderId="1" xfId="1" applyFont="1" applyFill="1" applyBorder="1"/>
    <xf numFmtId="43" fontId="0" fillId="0" borderId="1" xfId="0" applyNumberFormat="1" applyBorder="1"/>
    <xf numFmtId="43" fontId="18" fillId="0" borderId="0" xfId="1" applyFont="1" applyBorder="1"/>
    <xf numFmtId="43" fontId="15" fillId="0" borderId="0" xfId="1" applyFont="1" applyBorder="1"/>
    <xf numFmtId="0" fontId="10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wrapText="1"/>
    </xf>
    <xf numFmtId="43" fontId="1" fillId="0" borderId="1" xfId="0" applyNumberFormat="1" applyFont="1" applyBorder="1"/>
    <xf numFmtId="0" fontId="0" fillId="0" borderId="1" xfId="0" applyBorder="1"/>
    <xf numFmtId="164" fontId="15" fillId="0" borderId="0" xfId="1" applyNumberFormat="1" applyFont="1" applyFill="1" applyBorder="1"/>
    <xf numFmtId="43" fontId="19" fillId="0" borderId="0" xfId="1" applyFont="1" applyBorder="1"/>
    <xf numFmtId="0" fontId="14" fillId="0" borderId="0" xfId="0" applyFont="1"/>
    <xf numFmtId="43" fontId="0" fillId="0" borderId="0" xfId="0" applyNumberFormat="1"/>
    <xf numFmtId="0" fontId="1" fillId="0" borderId="1" xfId="1" applyNumberFormat="1" applyFont="1" applyBorder="1"/>
    <xf numFmtId="0" fontId="0" fillId="0" borderId="1" xfId="1" applyNumberFormat="1" applyFont="1" applyBorder="1"/>
    <xf numFmtId="164" fontId="0" fillId="0" borderId="0" xfId="1" applyNumberFormat="1" applyFont="1"/>
    <xf numFmtId="164" fontId="18" fillId="0" borderId="0" xfId="1" applyNumberFormat="1" applyFont="1" applyBorder="1"/>
    <xf numFmtId="43" fontId="15" fillId="0" borderId="0" xfId="0" applyNumberFormat="1" applyFont="1"/>
    <xf numFmtId="0" fontId="19" fillId="0" borderId="0" xfId="0" applyFont="1"/>
    <xf numFmtId="43" fontId="18" fillId="0" borderId="0" xfId="0" applyNumberFormat="1" applyFont="1"/>
    <xf numFmtId="43" fontId="20" fillId="0" borderId="0" xfId="0" applyNumberFormat="1" applyFont="1"/>
    <xf numFmtId="0" fontId="20" fillId="0" borderId="0" xfId="0" applyFont="1"/>
    <xf numFmtId="43" fontId="21" fillId="0" borderId="0" xfId="0" applyNumberFormat="1" applyFont="1"/>
    <xf numFmtId="0" fontId="21" fillId="0" borderId="0" xfId="0" applyFont="1"/>
    <xf numFmtId="10" fontId="7" fillId="0" borderId="1" xfId="0" applyNumberFormat="1" applyFont="1" applyBorder="1"/>
    <xf numFmtId="10" fontId="1" fillId="0" borderId="1" xfId="1" applyNumberFormat="1" applyFont="1" applyBorder="1"/>
    <xf numFmtId="10" fontId="0" fillId="0" borderId="1" xfId="1" applyNumberFormat="1" applyFont="1" applyBorder="1"/>
    <xf numFmtId="10" fontId="19" fillId="0" borderId="0" xfId="0" applyNumberFormat="1" applyFont="1"/>
    <xf numFmtId="43" fontId="0" fillId="0" borderId="1" xfId="1" applyFont="1" applyBorder="1"/>
    <xf numFmtId="43" fontId="14" fillId="0" borderId="0" xfId="0" applyNumberFormat="1" applyFont="1"/>
    <xf numFmtId="0" fontId="10" fillId="0" borderId="1" xfId="0" applyFont="1" applyBorder="1"/>
    <xf numFmtId="0" fontId="15" fillId="0" borderId="0" xfId="0" applyFont="1"/>
    <xf numFmtId="43" fontId="10" fillId="0" borderId="1" xfId="0" applyNumberFormat="1" applyFont="1" applyBorder="1"/>
    <xf numFmtId="43" fontId="22" fillId="0" borderId="0" xfId="0" applyNumberFormat="1" applyFont="1"/>
    <xf numFmtId="43" fontId="7" fillId="0" borderId="1" xfId="0" applyNumberFormat="1" applyFont="1" applyBorder="1"/>
    <xf numFmtId="43" fontId="23" fillId="0" borderId="0" xfId="0" applyNumberFormat="1" applyFont="1"/>
    <xf numFmtId="0" fontId="23" fillId="0" borderId="0" xfId="0" applyFont="1"/>
    <xf numFmtId="43" fontId="16" fillId="0" borderId="0" xfId="0" applyNumberFormat="1" applyFont="1"/>
    <xf numFmtId="0" fontId="16" fillId="0" borderId="0" xfId="0" applyFont="1"/>
    <xf numFmtId="0" fontId="16" fillId="0" borderId="1" xfId="0" applyFont="1" applyBorder="1"/>
    <xf numFmtId="0" fontId="24" fillId="0" borderId="0" xfId="3" applyFill="1" applyBorder="1" applyAlignment="1" applyProtection="1"/>
    <xf numFmtId="0" fontId="0" fillId="0" borderId="9" xfId="0" applyBorder="1"/>
    <xf numFmtId="0" fontId="25" fillId="0" borderId="1" xfId="0" applyFont="1" applyBorder="1"/>
    <xf numFmtId="0" fontId="21" fillId="0" borderId="1" xfId="0" applyFont="1" applyBorder="1"/>
    <xf numFmtId="0" fontId="0" fillId="0" borderId="10" xfId="0" applyBorder="1"/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</cellXfs>
  <cellStyles count="4">
    <cellStyle name="Comma" xfId="1" builtinId="3"/>
    <cellStyle name="Comma 2" xfId="2" xr:uid="{E48405D6-DCCB-4ACA-ACCF-04B30786A290}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</xdr:colOff>
      <xdr:row>0</xdr:row>
      <xdr:rowOff>0</xdr:rowOff>
    </xdr:from>
    <xdr:to>
      <xdr:col>16</xdr:col>
      <xdr:colOff>448324</xdr:colOff>
      <xdr:row>18</xdr:row>
      <xdr:rowOff>10141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18BDF2-1405-DC33-6CC0-0FD01AAC6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0" y="0"/>
          <a:ext cx="4648849" cy="441069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18</xdr:row>
      <xdr:rowOff>180975</xdr:rowOff>
    </xdr:from>
    <xdr:to>
      <xdr:col>5</xdr:col>
      <xdr:colOff>219657</xdr:colOff>
      <xdr:row>39</xdr:row>
      <xdr:rowOff>67273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7BE1B3-A11B-E53F-C580-9581C7135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4371975"/>
          <a:ext cx="4172532" cy="4286848"/>
        </a:xfrm>
        <a:prstGeom prst="rect">
          <a:avLst/>
        </a:prstGeom>
      </xdr:spPr>
    </xdr:pic>
    <xdr:clientData/>
  </xdr:twoCellAnchor>
  <xdr:twoCellAnchor editAs="oneCell">
    <xdr:from>
      <xdr:col>9</xdr:col>
      <xdr:colOff>219075</xdr:colOff>
      <xdr:row>18</xdr:row>
      <xdr:rowOff>161925</xdr:rowOff>
    </xdr:from>
    <xdr:to>
      <xdr:col>15</xdr:col>
      <xdr:colOff>438691</xdr:colOff>
      <xdr:row>24</xdr:row>
      <xdr:rowOff>95416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C7BD2B-58B6-97FE-D450-AE8CD1ACA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81800" y="4562475"/>
          <a:ext cx="3877216" cy="1190791"/>
        </a:xfrm>
        <a:prstGeom prst="rect">
          <a:avLst/>
        </a:prstGeom>
      </xdr:spPr>
    </xdr:pic>
    <xdr:clientData/>
  </xdr:twoCellAnchor>
  <xdr:twoCellAnchor editAs="oneCell">
    <xdr:from>
      <xdr:col>8</xdr:col>
      <xdr:colOff>428625</xdr:colOff>
      <xdr:row>25</xdr:row>
      <xdr:rowOff>57150</xdr:rowOff>
    </xdr:from>
    <xdr:to>
      <xdr:col>16</xdr:col>
      <xdr:colOff>76831</xdr:colOff>
      <xdr:row>60</xdr:row>
      <xdr:rowOff>96279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B031C95-FC69-AD7D-EDEB-C7A1D2DC8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81750" y="5924550"/>
          <a:ext cx="4525006" cy="7373379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61</xdr:row>
      <xdr:rowOff>19050</xdr:rowOff>
    </xdr:from>
    <xdr:to>
      <xdr:col>15</xdr:col>
      <xdr:colOff>476911</xdr:colOff>
      <xdr:row>87</xdr:row>
      <xdr:rowOff>67442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D6BB9B7-7E24-14AE-8707-B29CBD226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53175" y="13430250"/>
          <a:ext cx="4734586" cy="5496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04036-205E-4D6A-8FF2-A812ABEAE3C4}">
  <dimension ref="A1:Q68"/>
  <sheetViews>
    <sheetView tabSelected="1" zoomScaleNormal="100" workbookViewId="0">
      <selection activeCell="B36" sqref="B36"/>
    </sheetView>
  </sheetViews>
  <sheetFormatPr defaultRowHeight="15" x14ac:dyDescent="0.25"/>
  <cols>
    <col min="1" max="1" width="21.7109375" bestFit="1" customWidth="1"/>
    <col min="2" max="2" width="15.5703125" style="122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79"/>
      <c r="B1" s="80"/>
      <c r="E1" s="79"/>
      <c r="F1" s="81"/>
      <c r="G1" s="81"/>
    </row>
    <row r="2" spans="1:17" ht="16.5" x14ac:dyDescent="0.3">
      <c r="A2" s="71" t="s">
        <v>67</v>
      </c>
      <c r="B2" s="82">
        <v>2401</v>
      </c>
      <c r="C2" s="82">
        <v>2402</v>
      </c>
      <c r="D2" s="83" t="s">
        <v>68</v>
      </c>
      <c r="E2" t="s">
        <v>69</v>
      </c>
    </row>
    <row r="3" spans="1:17" ht="16.5" x14ac:dyDescent="0.3">
      <c r="A3" s="71" t="s">
        <v>70</v>
      </c>
      <c r="B3" s="84">
        <v>36000</v>
      </c>
      <c r="C3" s="84">
        <v>36000</v>
      </c>
      <c r="D3" s="85"/>
      <c r="E3">
        <v>2009</v>
      </c>
      <c r="F3" s="86">
        <v>2025</v>
      </c>
      <c r="G3" s="87">
        <f>F3-E3</f>
        <v>16</v>
      </c>
      <c r="L3" s="86"/>
      <c r="M3" s="87"/>
    </row>
    <row r="4" spans="1:17" ht="33" x14ac:dyDescent="0.3">
      <c r="A4" s="62" t="s">
        <v>71</v>
      </c>
      <c r="B4" s="84">
        <v>2800</v>
      </c>
      <c r="C4" s="84">
        <v>2800</v>
      </c>
      <c r="D4" s="85"/>
      <c r="E4" s="88"/>
      <c r="F4" s="86"/>
      <c r="G4" s="87"/>
      <c r="H4" s="89"/>
      <c r="K4" s="90"/>
      <c r="L4" s="86"/>
      <c r="M4" s="87"/>
    </row>
    <row r="5" spans="1:17" ht="16.5" x14ac:dyDescent="0.3">
      <c r="A5" s="71" t="s">
        <v>72</v>
      </c>
      <c r="B5" s="84">
        <f>B3-B4</f>
        <v>33200</v>
      </c>
      <c r="C5" s="91">
        <f>C3-C4</f>
        <v>33200</v>
      </c>
      <c r="D5" s="85"/>
      <c r="E5" s="92" t="s">
        <v>73</v>
      </c>
      <c r="F5" s="92"/>
      <c r="G5" s="93" t="s">
        <v>74</v>
      </c>
      <c r="H5" t="s">
        <v>75</v>
      </c>
      <c r="M5" s="94"/>
      <c r="N5" s="95"/>
      <c r="O5" s="95"/>
      <c r="P5" s="95"/>
      <c r="Q5" s="95"/>
    </row>
    <row r="6" spans="1:17" ht="16.5" x14ac:dyDescent="0.3">
      <c r="A6" s="71" t="s">
        <v>76</v>
      </c>
      <c r="B6" s="84">
        <f>B4</f>
        <v>2800</v>
      </c>
      <c r="C6" s="91">
        <f>C4</f>
        <v>2800</v>
      </c>
      <c r="D6" s="85"/>
      <c r="E6" s="96" t="s">
        <v>67</v>
      </c>
      <c r="F6" s="86"/>
      <c r="G6" s="93"/>
      <c r="M6" s="94"/>
      <c r="N6" s="95"/>
      <c r="O6" s="95"/>
      <c r="P6" s="95"/>
      <c r="Q6" s="95"/>
    </row>
    <row r="7" spans="1:17" ht="16.5" x14ac:dyDescent="0.3">
      <c r="A7" s="71" t="s">
        <v>77</v>
      </c>
      <c r="B7" s="39">
        <v>16</v>
      </c>
      <c r="C7" s="97">
        <v>16</v>
      </c>
      <c r="D7" s="98"/>
      <c r="E7" s="99">
        <v>2401</v>
      </c>
      <c r="F7" s="100">
        <v>2402</v>
      </c>
      <c r="G7" s="101"/>
      <c r="M7" s="102"/>
      <c r="N7" s="95"/>
      <c r="O7" s="95"/>
      <c r="P7" s="95"/>
      <c r="Q7" s="95"/>
    </row>
    <row r="8" spans="1:17" ht="16.5" x14ac:dyDescent="0.3">
      <c r="A8" s="71" t="s">
        <v>78</v>
      </c>
      <c r="B8" s="39">
        <f>B9-B7</f>
        <v>44</v>
      </c>
      <c r="C8" s="97">
        <f>C9-C7</f>
        <v>44</v>
      </c>
      <c r="D8" s="98"/>
      <c r="E8" s="96">
        <f>84.343*10.764</f>
        <v>907.86805200000003</v>
      </c>
      <c r="F8" s="103">
        <f>70.114*10.764</f>
        <v>754.70709599999998</v>
      </c>
      <c r="G8" s="101">
        <f>E8+F8</f>
        <v>1662.5751479999999</v>
      </c>
      <c r="H8" s="96">
        <f>G8*1.2</f>
        <v>1995.0901775999998</v>
      </c>
      <c r="I8" s="96"/>
      <c r="M8" s="102"/>
      <c r="N8" s="95"/>
      <c r="O8" s="95"/>
      <c r="P8" s="95"/>
      <c r="Q8" s="95"/>
    </row>
    <row r="9" spans="1:17" ht="16.5" x14ac:dyDescent="0.3">
      <c r="A9" s="71" t="s">
        <v>79</v>
      </c>
      <c r="B9" s="39">
        <v>60</v>
      </c>
      <c r="C9" s="97">
        <v>60</v>
      </c>
      <c r="D9" s="98"/>
      <c r="E9" s="96">
        <f>E8*1.2</f>
        <v>1089.4416624</v>
      </c>
      <c r="F9" s="103">
        <f>F8*1.2</f>
        <v>905.64851519999991</v>
      </c>
      <c r="G9" s="104"/>
      <c r="J9" s="105"/>
      <c r="M9" s="102"/>
      <c r="N9" s="95"/>
      <c r="O9" s="95"/>
      <c r="P9" s="95"/>
      <c r="Q9" s="95"/>
    </row>
    <row r="10" spans="1:17" ht="33" x14ac:dyDescent="0.3">
      <c r="A10" s="62" t="s">
        <v>80</v>
      </c>
      <c r="B10" s="39">
        <f>90*B7/B9</f>
        <v>24</v>
      </c>
      <c r="C10" s="97">
        <f>90*C7/C9</f>
        <v>24</v>
      </c>
      <c r="D10" s="98"/>
      <c r="E10" s="104"/>
      <c r="F10" s="106"/>
      <c r="G10" s="104"/>
      <c r="H10" s="95"/>
      <c r="I10" s="95"/>
      <c r="J10" s="105"/>
      <c r="K10" s="105"/>
      <c r="L10" s="107"/>
      <c r="M10" s="102"/>
      <c r="N10" s="95"/>
      <c r="O10" s="95"/>
      <c r="P10" s="95"/>
      <c r="Q10" s="95"/>
    </row>
    <row r="11" spans="1:17" ht="16.5" x14ac:dyDescent="0.3">
      <c r="A11" s="71"/>
      <c r="B11" s="108">
        <f>B10%</f>
        <v>0.24</v>
      </c>
      <c r="C11" s="109">
        <f>C10%</f>
        <v>0.24</v>
      </c>
      <c r="D11" s="110"/>
      <c r="E11">
        <v>57</v>
      </c>
      <c r="F11" t="s">
        <v>81</v>
      </c>
      <c r="G11" s="104"/>
      <c r="H11" s="95"/>
      <c r="I11" s="95"/>
      <c r="J11" s="105"/>
      <c r="K11" s="105"/>
      <c r="L11" s="107"/>
      <c r="M11" s="111"/>
      <c r="N11" s="95"/>
      <c r="O11" s="95"/>
      <c r="P11" s="95"/>
      <c r="Q11" s="95"/>
    </row>
    <row r="12" spans="1:17" ht="16.5" x14ac:dyDescent="0.3">
      <c r="A12" s="71" t="s">
        <v>82</v>
      </c>
      <c r="B12" s="84">
        <f>B6*B11</f>
        <v>672</v>
      </c>
      <c r="C12" s="60">
        <f>C6*C11</f>
        <v>672</v>
      </c>
      <c r="D12" s="112"/>
      <c r="G12" s="104"/>
      <c r="H12" s="95"/>
      <c r="I12" s="95"/>
      <c r="J12" s="105"/>
      <c r="K12" s="105"/>
      <c r="L12" s="107"/>
      <c r="M12" s="94"/>
      <c r="N12" s="95"/>
      <c r="O12" s="95"/>
      <c r="P12" s="95"/>
      <c r="Q12" s="95"/>
    </row>
    <row r="13" spans="1:17" ht="16.5" x14ac:dyDescent="0.3">
      <c r="A13" s="71" t="s">
        <v>83</v>
      </c>
      <c r="B13" s="84">
        <f>B6-B12</f>
        <v>2128</v>
      </c>
      <c r="C13" s="60">
        <f>C6-C12</f>
        <v>2128</v>
      </c>
      <c r="D13" s="112"/>
      <c r="E13" t="s">
        <v>84</v>
      </c>
      <c r="G13" s="104"/>
      <c r="H13" s="113"/>
      <c r="I13" s="95"/>
      <c r="J13" s="105"/>
      <c r="K13" s="105"/>
      <c r="L13" s="107"/>
      <c r="M13" s="94"/>
      <c r="N13" s="95"/>
      <c r="O13" s="95"/>
      <c r="P13" s="95"/>
      <c r="Q13" s="95"/>
    </row>
    <row r="14" spans="1:17" ht="16.5" x14ac:dyDescent="0.3">
      <c r="A14" s="71" t="s">
        <v>72</v>
      </c>
      <c r="B14" s="84">
        <f>B5</f>
        <v>33200</v>
      </c>
      <c r="C14" s="91">
        <f>C5</f>
        <v>33200</v>
      </c>
      <c r="D14" s="85"/>
      <c r="E14" s="96">
        <f>386+180+102+56+126+203+149+25+66+59+29+47+79+53+146+30+40+52+9+12+88</f>
        <v>1937</v>
      </c>
      <c r="F14" s="96"/>
      <c r="G14" s="104"/>
      <c r="H14" s="95"/>
      <c r="I14" s="95"/>
      <c r="J14" s="105"/>
      <c r="K14" s="105"/>
      <c r="L14" s="107"/>
      <c r="M14" s="94"/>
      <c r="N14" s="95"/>
      <c r="O14" s="95"/>
      <c r="P14" s="95"/>
      <c r="Q14" s="95"/>
    </row>
    <row r="15" spans="1:17" ht="16.5" x14ac:dyDescent="0.3">
      <c r="A15" s="71" t="s">
        <v>85</v>
      </c>
      <c r="B15" s="84">
        <f>B14+B13</f>
        <v>35328</v>
      </c>
      <c r="C15" s="91">
        <f>C14+C13</f>
        <v>35328</v>
      </c>
      <c r="D15" s="85"/>
      <c r="E15" s="96"/>
      <c r="F15" s="96"/>
      <c r="G15" s="104"/>
      <c r="H15" s="105"/>
      <c r="I15" s="105"/>
      <c r="J15" s="105"/>
      <c r="K15" s="105"/>
      <c r="L15" s="107"/>
      <c r="M15" s="87"/>
    </row>
    <row r="16" spans="1:17" ht="16.5" x14ac:dyDescent="0.3">
      <c r="A16" s="71" t="s">
        <v>86</v>
      </c>
      <c r="B16" s="114">
        <v>908</v>
      </c>
      <c r="C16" s="74">
        <v>755</v>
      </c>
      <c r="D16" s="92"/>
      <c r="E16" s="101"/>
      <c r="F16" s="101"/>
      <c r="G16" s="101"/>
      <c r="H16" s="96"/>
      <c r="M16" s="115"/>
    </row>
    <row r="17" spans="1:14" ht="16.5" x14ac:dyDescent="0.3">
      <c r="A17" s="71" t="s">
        <v>5</v>
      </c>
      <c r="B17" s="116">
        <f>B15*B16</f>
        <v>32077824</v>
      </c>
      <c r="C17" s="116">
        <f>C15*C16</f>
        <v>26672640</v>
      </c>
      <c r="D17" s="116">
        <f>SUM(B17:C17)</f>
        <v>58750464</v>
      </c>
      <c r="E17" s="101"/>
      <c r="F17" s="117"/>
      <c r="G17" s="101">
        <f>2000</f>
        <v>2000</v>
      </c>
      <c r="H17" s="96"/>
      <c r="M17" s="101"/>
      <c r="N17" s="96"/>
    </row>
    <row r="18" spans="1:14" ht="16.5" x14ac:dyDescent="0.3">
      <c r="A18" s="71" t="s">
        <v>87</v>
      </c>
      <c r="B18" s="116">
        <f>2500*B16</f>
        <v>2270000</v>
      </c>
      <c r="C18" s="116">
        <f>2500*C16</f>
        <v>1887500</v>
      </c>
      <c r="D18" s="116">
        <f>SUM(B18:C18)</f>
        <v>4157500</v>
      </c>
      <c r="E18" s="101"/>
      <c r="F18" s="117"/>
      <c r="G18" s="101">
        <v>1663</v>
      </c>
      <c r="H18" s="96"/>
      <c r="M18" s="101"/>
      <c r="N18" s="96"/>
    </row>
    <row r="19" spans="1:14" ht="16.5" x14ac:dyDescent="0.3">
      <c r="A19" s="71" t="s">
        <v>88</v>
      </c>
      <c r="B19" s="116">
        <v>0</v>
      </c>
      <c r="C19" s="116">
        <v>0</v>
      </c>
      <c r="D19" s="116">
        <f>SUM(B19:C19)</f>
        <v>0</v>
      </c>
      <c r="E19" s="101"/>
      <c r="F19" s="117"/>
      <c r="G19" s="101"/>
      <c r="H19" s="96"/>
      <c r="M19" s="101"/>
      <c r="N19" s="96"/>
    </row>
    <row r="20" spans="1:14" ht="16.5" x14ac:dyDescent="0.3">
      <c r="A20" s="71" t="s">
        <v>68</v>
      </c>
      <c r="B20" s="116">
        <f>B18+B17+B19</f>
        <v>34347824</v>
      </c>
      <c r="C20" s="116">
        <f t="shared" ref="C20:D20" si="0">C18+C17+C19</f>
        <v>28560140</v>
      </c>
      <c r="D20" s="116">
        <f t="shared" si="0"/>
        <v>62907964</v>
      </c>
      <c r="E20" s="101"/>
      <c r="F20" s="117"/>
      <c r="G20" s="101"/>
      <c r="H20" s="96"/>
      <c r="M20" s="101"/>
      <c r="N20" s="96"/>
    </row>
    <row r="21" spans="1:14" ht="16.5" x14ac:dyDescent="0.3">
      <c r="A21" s="71" t="s">
        <v>89</v>
      </c>
      <c r="B21" s="116">
        <f>ROUND(B20*0.9,0)</f>
        <v>30913042</v>
      </c>
      <c r="C21" s="116">
        <f>ROUND(C20*0.9,0)</f>
        <v>25704126</v>
      </c>
      <c r="D21" s="116">
        <f>ROUND(D20*0.9,0)</f>
        <v>56617168</v>
      </c>
      <c r="E21" s="101"/>
      <c r="F21" s="117"/>
      <c r="G21" s="101">
        <f>G18*G17</f>
        <v>3326000</v>
      </c>
      <c r="H21" s="96"/>
      <c r="M21" s="101"/>
      <c r="N21" s="96"/>
    </row>
    <row r="22" spans="1:14" ht="16.5" x14ac:dyDescent="0.3">
      <c r="A22" s="71" t="s">
        <v>90</v>
      </c>
      <c r="B22" s="116">
        <f>ROUND(B20*0.8,0)</f>
        <v>27478259</v>
      </c>
      <c r="C22" s="116">
        <f>ROUND(C20*0.8,0)</f>
        <v>22848112</v>
      </c>
      <c r="D22" s="116">
        <f>ROUND(D20*0.8,0)</f>
        <v>50326371</v>
      </c>
      <c r="E22" s="101"/>
      <c r="F22" s="117"/>
      <c r="G22" s="101"/>
      <c r="H22" s="96"/>
      <c r="M22" s="101"/>
      <c r="N22" s="96"/>
    </row>
    <row r="23" spans="1:14" ht="18.75" x14ac:dyDescent="0.3">
      <c r="A23" s="71" t="s">
        <v>91</v>
      </c>
      <c r="B23" s="118">
        <f>1089*B4</f>
        <v>3049200</v>
      </c>
      <c r="C23" s="91">
        <f>906*C4</f>
        <v>2536800</v>
      </c>
      <c r="D23" s="116">
        <f>B23+C23</f>
        <v>5586000</v>
      </c>
      <c r="E23" s="119"/>
      <c r="F23" s="119"/>
      <c r="G23" s="120"/>
    </row>
    <row r="24" spans="1:14" ht="16.5" x14ac:dyDescent="0.3">
      <c r="A24" s="39" t="s">
        <v>92</v>
      </c>
      <c r="B24" s="118">
        <f>ROUND(B17*0.025/12,0)</f>
        <v>66829</v>
      </c>
      <c r="C24" s="118">
        <f>ROUND(C17*0.025/12,0)</f>
        <v>55568</v>
      </c>
      <c r="D24" s="116">
        <f>B24+C24</f>
        <v>122397</v>
      </c>
      <c r="E24" s="96"/>
      <c r="F24" s="101"/>
    </row>
    <row r="25" spans="1:14" x14ac:dyDescent="0.25">
      <c r="B25" s="121"/>
    </row>
    <row r="26" spans="1:14" x14ac:dyDescent="0.25">
      <c r="B26" s="121"/>
    </row>
    <row r="28" spans="1:14" x14ac:dyDescent="0.25">
      <c r="C28" t="s">
        <v>93</v>
      </c>
    </row>
    <row r="29" spans="1:14" x14ac:dyDescent="0.25">
      <c r="B29" s="123" t="s">
        <v>94</v>
      </c>
      <c r="C29" s="92" t="s">
        <v>95</v>
      </c>
      <c r="D29" s="92" t="s">
        <v>96</v>
      </c>
      <c r="E29" s="92" t="s">
        <v>5</v>
      </c>
      <c r="F29" s="92" t="s">
        <v>97</v>
      </c>
      <c r="G29" s="92" t="s">
        <v>98</v>
      </c>
      <c r="H29" s="92" t="s">
        <v>99</v>
      </c>
      <c r="I29" s="92" t="s">
        <v>100</v>
      </c>
    </row>
    <row r="30" spans="1:14" ht="17.25" x14ac:dyDescent="0.3">
      <c r="B30" s="123">
        <v>2100</v>
      </c>
      <c r="C30" s="92">
        <f t="shared" ref="C30:C35" si="1">B30*1.2</f>
        <v>2520</v>
      </c>
      <c r="D30" s="92">
        <v>3000</v>
      </c>
      <c r="E30" s="92">
        <v>65000000</v>
      </c>
      <c r="F30" s="85">
        <f t="shared" ref="F30:F34" si="2">E30/B30</f>
        <v>30952.380952380954</v>
      </c>
      <c r="G30" s="85">
        <f>E30/C30</f>
        <v>25793.650793650795</v>
      </c>
      <c r="H30" s="85">
        <f t="shared" ref="H30:H35" si="3">E30/D30</f>
        <v>21666.666666666668</v>
      </c>
      <c r="I30" s="92">
        <f>D30/B30</f>
        <v>1.4285714285714286</v>
      </c>
      <c r="J30" s="124"/>
    </row>
    <row r="31" spans="1:14" ht="17.25" x14ac:dyDescent="0.3">
      <c r="B31" s="123">
        <v>800</v>
      </c>
      <c r="C31" s="92">
        <f t="shared" si="1"/>
        <v>960</v>
      </c>
      <c r="D31" s="92">
        <v>1300</v>
      </c>
      <c r="E31" s="92">
        <v>30000000</v>
      </c>
      <c r="F31" s="85">
        <f t="shared" si="2"/>
        <v>37500</v>
      </c>
      <c r="G31" s="85">
        <f>E31/C31</f>
        <v>31250</v>
      </c>
      <c r="H31" s="85">
        <f t="shared" si="3"/>
        <v>23076.923076923078</v>
      </c>
      <c r="I31" s="92">
        <f>D31/B31</f>
        <v>1.625</v>
      </c>
      <c r="J31" s="124"/>
    </row>
    <row r="32" spans="1:14" x14ac:dyDescent="0.25">
      <c r="B32" s="123">
        <v>2000</v>
      </c>
      <c r="C32" s="92">
        <f t="shared" si="1"/>
        <v>2400</v>
      </c>
      <c r="D32" s="92">
        <v>2950</v>
      </c>
      <c r="E32" s="92">
        <v>95000000</v>
      </c>
      <c r="F32" s="85">
        <f t="shared" si="2"/>
        <v>47500</v>
      </c>
      <c r="G32" s="85">
        <f t="shared" ref="G32:G35" si="4">E32/C32</f>
        <v>39583.333333333336</v>
      </c>
      <c r="H32" s="85">
        <f t="shared" si="3"/>
        <v>32203.389830508473</v>
      </c>
      <c r="I32" s="92">
        <f>D32/B32</f>
        <v>1.4750000000000001</v>
      </c>
    </row>
    <row r="33" spans="1:11" x14ac:dyDescent="0.25">
      <c r="B33" s="123">
        <v>1950</v>
      </c>
      <c r="C33" s="92">
        <f t="shared" si="1"/>
        <v>2340</v>
      </c>
      <c r="D33" s="92">
        <v>2900</v>
      </c>
      <c r="E33" s="92">
        <v>90000000</v>
      </c>
      <c r="F33" s="85">
        <f t="shared" si="2"/>
        <v>46153.846153846156</v>
      </c>
      <c r="G33" s="85">
        <f t="shared" si="4"/>
        <v>38461.538461538461</v>
      </c>
      <c r="H33" s="85">
        <f t="shared" si="3"/>
        <v>31034.482758620688</v>
      </c>
      <c r="I33" s="92">
        <f>D33/B33</f>
        <v>1.4871794871794872</v>
      </c>
    </row>
    <row r="34" spans="1:11" x14ac:dyDescent="0.25">
      <c r="B34" s="123">
        <v>1900</v>
      </c>
      <c r="C34" s="92">
        <f t="shared" si="1"/>
        <v>2280</v>
      </c>
      <c r="D34" s="92">
        <f>B34*1.47</f>
        <v>2793</v>
      </c>
      <c r="E34" s="85">
        <v>72000000</v>
      </c>
      <c r="F34" s="85">
        <f t="shared" si="2"/>
        <v>37894.73684210526</v>
      </c>
      <c r="G34" s="85">
        <f t="shared" si="4"/>
        <v>31578.947368421053</v>
      </c>
      <c r="H34" s="85">
        <f t="shared" si="3"/>
        <v>25778.73254564984</v>
      </c>
      <c r="I34" s="92"/>
    </row>
    <row r="35" spans="1:11" x14ac:dyDescent="0.25">
      <c r="B35" s="123">
        <v>0</v>
      </c>
      <c r="C35" s="92">
        <f t="shared" si="1"/>
        <v>0</v>
      </c>
      <c r="D35" s="92">
        <v>1600</v>
      </c>
      <c r="E35" s="85">
        <v>42500000</v>
      </c>
      <c r="F35" s="85">
        <f>AVERAGE(F30:F34)</f>
        <v>40000.192789666471</v>
      </c>
      <c r="G35" s="85" t="e">
        <f t="shared" si="4"/>
        <v>#DIV/0!</v>
      </c>
      <c r="H35" s="85">
        <f t="shared" si="3"/>
        <v>26562.5</v>
      </c>
      <c r="I35" s="92"/>
    </row>
    <row r="36" spans="1:11" x14ac:dyDescent="0.25">
      <c r="B36" s="123"/>
      <c r="C36" s="92"/>
      <c r="D36" s="92"/>
      <c r="E36" s="85"/>
      <c r="F36" s="85"/>
      <c r="G36" s="85"/>
      <c r="H36" s="85"/>
      <c r="I36" s="92"/>
    </row>
    <row r="37" spans="1:11" x14ac:dyDescent="0.25">
      <c r="B37" s="123"/>
      <c r="C37" s="92"/>
      <c r="D37" s="92"/>
      <c r="E37" s="85"/>
      <c r="F37" s="85"/>
      <c r="G37" s="85"/>
      <c r="H37" s="85"/>
      <c r="I37" s="92"/>
    </row>
    <row r="38" spans="1:11" x14ac:dyDescent="0.25">
      <c r="B38" s="123" t="s">
        <v>94</v>
      </c>
      <c r="C38" s="92" t="s">
        <v>95</v>
      </c>
      <c r="D38" s="92" t="s">
        <v>96</v>
      </c>
      <c r="E38" s="92" t="s">
        <v>5</v>
      </c>
      <c r="F38" s="92" t="s">
        <v>97</v>
      </c>
      <c r="G38" s="92" t="s">
        <v>98</v>
      </c>
    </row>
    <row r="39" spans="1:11" x14ac:dyDescent="0.25">
      <c r="A39">
        <v>2024</v>
      </c>
      <c r="B39" s="92">
        <f>70.214*10.764+84.343*10.764</f>
        <v>1663.6515479999998</v>
      </c>
      <c r="C39" s="92">
        <f>B39*1.2</f>
        <v>1996.3818575999996</v>
      </c>
      <c r="D39" s="92"/>
      <c r="E39" s="92">
        <v>28938300</v>
      </c>
      <c r="F39" s="92">
        <f>E39/B39</f>
        <v>17394.447794545016</v>
      </c>
      <c r="G39" s="92">
        <f>E39/C39</f>
        <v>14495.373162120848</v>
      </c>
      <c r="H39" s="85">
        <f>B15/F39</f>
        <v>2.0309929017165484</v>
      </c>
      <c r="I39" s="125"/>
      <c r="J39" s="96"/>
    </row>
    <row r="40" spans="1:11" x14ac:dyDescent="0.25">
      <c r="A40">
        <v>2023</v>
      </c>
      <c r="B40" s="92">
        <f>70.114*10.764</f>
        <v>754.70709599999998</v>
      </c>
      <c r="C40" s="92">
        <f>B40*1.2</f>
        <v>905.64851519999991</v>
      </c>
      <c r="D40" s="92"/>
      <c r="E40" s="92">
        <v>13000000</v>
      </c>
      <c r="F40" s="92">
        <f>E40/B40</f>
        <v>17225.225612560029</v>
      </c>
      <c r="G40" s="92">
        <f>E40/C40</f>
        <v>14354.354677133359</v>
      </c>
      <c r="H40" s="85">
        <f>B15/F40</f>
        <v>2.0509455605759999</v>
      </c>
    </row>
    <row r="41" spans="1:11" x14ac:dyDescent="0.25">
      <c r="B41" s="92">
        <f>113.16*10.764+4.52*10.764+20.077*10.764+24.6*10.764</f>
        <v>1747.6107479999998</v>
      </c>
      <c r="C41" s="92">
        <f>B41*1.2</f>
        <v>2097.1328975999995</v>
      </c>
      <c r="D41" s="92"/>
      <c r="E41" s="92">
        <v>41435500</v>
      </c>
      <c r="F41" s="92">
        <f>E41/B41</f>
        <v>23709.799248728359</v>
      </c>
      <c r="G41" s="92">
        <f>E41/C41</f>
        <v>19758.166040606968</v>
      </c>
      <c r="H41" s="85">
        <f>B15/F41</f>
        <v>1.4900168335206283</v>
      </c>
    </row>
    <row r="42" spans="1:11" x14ac:dyDescent="0.25">
      <c r="B42" s="92">
        <f>61.15*10.764</f>
        <v>658.21859999999992</v>
      </c>
      <c r="C42" s="92">
        <f>B42*1.2</f>
        <v>789.86231999999984</v>
      </c>
      <c r="D42" s="92"/>
      <c r="E42" s="92">
        <v>20800000</v>
      </c>
      <c r="F42" s="92">
        <f>E42/B42</f>
        <v>31600.44398623801</v>
      </c>
      <c r="G42" s="92">
        <f>E42/C42</f>
        <v>26333.70332186501</v>
      </c>
      <c r="H42" s="85">
        <f>B15/F42</f>
        <v>1.1179589759999999</v>
      </c>
      <c r="K42" s="96"/>
    </row>
    <row r="43" spans="1:11" x14ac:dyDescent="0.25">
      <c r="B43" s="92"/>
      <c r="C43" s="92"/>
      <c r="D43" s="92"/>
      <c r="E43" s="92">
        <v>3800000</v>
      </c>
      <c r="F43" s="92"/>
      <c r="G43" s="92" t="e">
        <f>E43/C43</f>
        <v>#DIV/0!</v>
      </c>
      <c r="H43" s="92"/>
    </row>
    <row r="44" spans="1:11" ht="15.75" x14ac:dyDescent="0.25">
      <c r="B44" s="126"/>
      <c r="C44" s="92"/>
      <c r="D44" s="92"/>
      <c r="E44" s="92"/>
      <c r="F44" s="92"/>
      <c r="G44" s="92"/>
      <c r="H44" s="92"/>
    </row>
    <row r="45" spans="1:11" ht="15.75" x14ac:dyDescent="0.25">
      <c r="B45" s="127"/>
      <c r="C45" s="123"/>
      <c r="D45" s="92"/>
      <c r="E45" s="92"/>
      <c r="F45" s="92"/>
      <c r="G45" s="92"/>
      <c r="H45" s="92"/>
    </row>
    <row r="46" spans="1:11" ht="15.75" x14ac:dyDescent="0.25">
      <c r="B46" s="127"/>
      <c r="C46" s="123"/>
      <c r="D46" s="92"/>
      <c r="E46" s="92"/>
      <c r="F46" s="92"/>
      <c r="G46" s="92"/>
      <c r="H46" s="92"/>
    </row>
    <row r="47" spans="1:11" ht="15.75" x14ac:dyDescent="0.25">
      <c r="B47" s="107"/>
      <c r="C47" s="122"/>
      <c r="D47" s="128"/>
    </row>
    <row r="48" spans="1:11" ht="15.75" x14ac:dyDescent="0.25">
      <c r="B48" s="107"/>
      <c r="C48" s="122"/>
    </row>
    <row r="68" spans="3:5" x14ac:dyDescent="0.25">
      <c r="C68" s="96"/>
      <c r="D68" s="96"/>
      <c r="E68" s="9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A1:O183"/>
  <sheetViews>
    <sheetView tabSelected="1" zoomScaleNormal="100" workbookViewId="0">
      <pane xSplit="2" ySplit="7" topLeftCell="C8" activePane="bottomRight" state="frozen"/>
      <selection activeCell="B36" sqref="B36"/>
      <selection pane="topRight" activeCell="B36" sqref="B36"/>
      <selection pane="bottomLeft" activeCell="B36" sqref="B36"/>
      <selection pane="bottomRight" activeCell="B36" sqref="B36"/>
    </sheetView>
  </sheetViews>
  <sheetFormatPr defaultColWidth="12.5703125" defaultRowHeight="16.5" x14ac:dyDescent="0.3"/>
  <cols>
    <col min="1" max="1" width="20.5703125" style="15" customWidth="1"/>
    <col min="2" max="2" width="19.5703125" style="53" bestFit="1" customWidth="1"/>
    <col min="3" max="3" width="17.28515625" style="1" customWidth="1"/>
    <col min="4" max="4" width="14.7109375" style="1" bestFit="1" customWidth="1"/>
    <col min="5" max="5" width="8.140625" style="1" bestFit="1" customWidth="1"/>
    <col min="6" max="6" width="11.140625" style="3" bestFit="1" customWidth="1"/>
    <col min="7" max="7" width="7.140625" style="3" bestFit="1" customWidth="1"/>
    <col min="8" max="8" width="7.140625" style="3" customWidth="1"/>
    <col min="9" max="9" width="9" style="3" bestFit="1" customWidth="1"/>
    <col min="10" max="10" width="13.85546875" style="3" bestFit="1" customWidth="1"/>
    <col min="11" max="11" width="8.7109375" style="1" bestFit="1" customWidth="1"/>
    <col min="12" max="12" width="14" style="3" bestFit="1" customWidth="1"/>
    <col min="13" max="13" width="13.7109375" style="1" bestFit="1" customWidth="1"/>
    <col min="14" max="14" width="14.28515625" style="3" bestFit="1" customWidth="1"/>
    <col min="15" max="15" width="14.85546875" style="3" bestFit="1" customWidth="1"/>
    <col min="16" max="16384" width="12.5703125" style="1"/>
  </cols>
  <sheetData>
    <row r="1" spans="1:15" x14ac:dyDescent="0.3">
      <c r="A1" s="5" t="s">
        <v>10</v>
      </c>
      <c r="B1" s="45"/>
    </row>
    <row r="2" spans="1:15" x14ac:dyDescent="0.3">
      <c r="A2" s="11" t="s">
        <v>54</v>
      </c>
      <c r="B2" s="13">
        <v>9</v>
      </c>
      <c r="C2" s="39" t="s">
        <v>64</v>
      </c>
      <c r="F2" s="1"/>
      <c r="G2" s="1"/>
      <c r="H2" s="1"/>
      <c r="I2" s="1"/>
      <c r="K2" s="3"/>
      <c r="M2" s="3"/>
      <c r="N2" s="1"/>
      <c r="O2" s="1"/>
    </row>
    <row r="3" spans="1:15" x14ac:dyDescent="0.3">
      <c r="A3" s="12" t="s">
        <v>4</v>
      </c>
      <c r="B3" s="47">
        <v>0</v>
      </c>
      <c r="C3" s="13">
        <v>0</v>
      </c>
      <c r="E3" s="17"/>
      <c r="F3" s="18"/>
      <c r="G3" s="1"/>
      <c r="H3" s="1"/>
      <c r="K3" s="3"/>
      <c r="M3" s="3"/>
      <c r="N3" s="1"/>
      <c r="O3" s="1"/>
    </row>
    <row r="4" spans="1:15" x14ac:dyDescent="0.3">
      <c r="A4" s="40" t="s">
        <v>15</v>
      </c>
      <c r="B4" s="46">
        <f>ROUND((B2*B3),0)</f>
        <v>0</v>
      </c>
      <c r="C4" s="13">
        <f>C3*B2</f>
        <v>0</v>
      </c>
      <c r="E4" s="17"/>
      <c r="F4" s="19"/>
      <c r="G4" s="1"/>
      <c r="H4" s="1"/>
      <c r="K4" s="3"/>
      <c r="M4" s="3"/>
      <c r="N4" s="1"/>
      <c r="O4" s="1"/>
    </row>
    <row r="5" spans="1:15" x14ac:dyDescent="0.3">
      <c r="A5" s="41"/>
      <c r="B5" s="48"/>
      <c r="C5" s="42"/>
      <c r="E5" s="17"/>
      <c r="F5" s="19"/>
      <c r="G5" s="1"/>
      <c r="H5" s="1"/>
      <c r="K5" s="3"/>
      <c r="M5" s="3"/>
      <c r="N5" s="1"/>
      <c r="O5" s="1"/>
    </row>
    <row r="6" spans="1:15" x14ac:dyDescent="0.3">
      <c r="A6" s="5" t="s">
        <v>11</v>
      </c>
      <c r="B6" s="45"/>
      <c r="D6" s="16"/>
    </row>
    <row r="7" spans="1:15" s="65" customFormat="1" ht="38.25" x14ac:dyDescent="0.25">
      <c r="A7" s="63" t="s">
        <v>31</v>
      </c>
      <c r="B7" s="64" t="s">
        <v>26</v>
      </c>
      <c r="C7" s="63" t="s">
        <v>30</v>
      </c>
      <c r="D7" s="63" t="s">
        <v>0</v>
      </c>
      <c r="E7" s="63" t="s">
        <v>1</v>
      </c>
      <c r="F7" s="63" t="s">
        <v>16</v>
      </c>
      <c r="G7" s="63" t="s">
        <v>62</v>
      </c>
      <c r="H7" s="63" t="s">
        <v>58</v>
      </c>
      <c r="I7" s="63" t="s">
        <v>61</v>
      </c>
      <c r="J7" s="63" t="s">
        <v>2</v>
      </c>
      <c r="K7" s="63" t="s">
        <v>3</v>
      </c>
      <c r="L7" s="63" t="s">
        <v>13</v>
      </c>
      <c r="M7" s="63" t="s">
        <v>17</v>
      </c>
      <c r="N7" s="63" t="s">
        <v>14</v>
      </c>
      <c r="O7" s="63" t="s">
        <v>18</v>
      </c>
    </row>
    <row r="8" spans="1:15" s="21" customFormat="1" x14ac:dyDescent="0.2">
      <c r="A8" s="20"/>
      <c r="B8" s="49" t="s">
        <v>63</v>
      </c>
      <c r="C8" s="43" t="s">
        <v>59</v>
      </c>
      <c r="D8" s="43" t="s">
        <v>59</v>
      </c>
      <c r="E8" s="43" t="s">
        <v>59</v>
      </c>
      <c r="F8" s="2" t="s">
        <v>19</v>
      </c>
      <c r="G8" s="43" t="s">
        <v>59</v>
      </c>
      <c r="H8" s="43" t="s">
        <v>59</v>
      </c>
      <c r="I8" s="43" t="s">
        <v>59</v>
      </c>
      <c r="J8" s="2"/>
      <c r="K8" s="2"/>
      <c r="L8" s="2" t="s">
        <v>19</v>
      </c>
      <c r="M8" s="2" t="s">
        <v>19</v>
      </c>
      <c r="N8" s="2" t="s">
        <v>19</v>
      </c>
      <c r="O8" s="2" t="s">
        <v>19</v>
      </c>
    </row>
    <row r="9" spans="1:15" s="21" customFormat="1" x14ac:dyDescent="0.3">
      <c r="A9" s="62" t="str">
        <f>Sheet1!B2</f>
        <v>Security Cabin</v>
      </c>
      <c r="B9" s="60">
        <f>Sheet1!D2</f>
        <v>9</v>
      </c>
      <c r="C9" s="66">
        <v>2012</v>
      </c>
      <c r="D9" s="22">
        <v>2025</v>
      </c>
      <c r="E9" s="54">
        <v>50</v>
      </c>
      <c r="F9" s="54">
        <v>10000</v>
      </c>
      <c r="G9" s="54">
        <f t="shared" ref="G9" si="0">D9-C9</f>
        <v>13</v>
      </c>
      <c r="H9" s="54">
        <v>10</v>
      </c>
      <c r="I9" s="54">
        <f>E9-G9</f>
        <v>37</v>
      </c>
      <c r="J9" s="54">
        <f>IF(G9&gt;=5,90*G9/E9,0)</f>
        <v>23.4</v>
      </c>
      <c r="K9" s="54">
        <f>F9/100*J9</f>
        <v>2340</v>
      </c>
      <c r="L9" s="54">
        <f>ROUND((F9-K9),0)</f>
        <v>7660</v>
      </c>
      <c r="M9" s="54">
        <f t="shared" ref="M9" si="1">O9-N9</f>
        <v>21060</v>
      </c>
      <c r="N9" s="54">
        <f>ROUND(L9*B9,0)</f>
        <v>68940</v>
      </c>
      <c r="O9" s="54">
        <f>ROUND(F9*B9,0)</f>
        <v>90000</v>
      </c>
    </row>
    <row r="10" spans="1:15" s="21" customFormat="1" x14ac:dyDescent="0.3">
      <c r="A10" s="62" t="str">
        <f>Sheet1!B3</f>
        <v>Admin Bldg.</v>
      </c>
      <c r="B10" s="60"/>
      <c r="C10" s="66"/>
      <c r="D10" s="22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</row>
    <row r="11" spans="1:15" s="21" customFormat="1" x14ac:dyDescent="0.3">
      <c r="A11" s="62" t="str">
        <f>Sheet1!B4</f>
        <v>Ground Floor</v>
      </c>
      <c r="B11" s="60">
        <f>Sheet1!D4</f>
        <v>100.41</v>
      </c>
      <c r="C11" s="66">
        <v>2012</v>
      </c>
      <c r="D11" s="22">
        <v>2025</v>
      </c>
      <c r="E11" s="54">
        <v>50</v>
      </c>
      <c r="F11" s="54">
        <v>18000</v>
      </c>
      <c r="G11" s="54">
        <f t="shared" ref="G11:G22" si="2">D11-C11</f>
        <v>13</v>
      </c>
      <c r="H11" s="54">
        <v>10</v>
      </c>
      <c r="I11" s="54">
        <f t="shared" ref="I11:I22" si="3">E11-G11</f>
        <v>37</v>
      </c>
      <c r="J11" s="54">
        <f t="shared" ref="J11:J22" si="4">IF(G11&gt;=5,90*G11/E11,0)</f>
        <v>23.4</v>
      </c>
      <c r="K11" s="54">
        <f t="shared" ref="K11:K22" si="5">F11/100*J11</f>
        <v>4212</v>
      </c>
      <c r="L11" s="54">
        <f t="shared" ref="L11:L22" si="6">ROUND((F11-K11),0)</f>
        <v>13788</v>
      </c>
      <c r="M11" s="54">
        <f t="shared" ref="M11:M22" si="7">O11-N11</f>
        <v>422927</v>
      </c>
      <c r="N11" s="54">
        <f t="shared" ref="N11:N22" si="8">ROUND(L11*B11,0)</f>
        <v>1384453</v>
      </c>
      <c r="O11" s="54">
        <f t="shared" ref="O11:O22" si="9">ROUND(F11*B11,0)</f>
        <v>1807380</v>
      </c>
    </row>
    <row r="12" spans="1:15" s="21" customFormat="1" x14ac:dyDescent="0.3">
      <c r="A12" s="62" t="str">
        <f>Sheet1!B5</f>
        <v>1st Floor</v>
      </c>
      <c r="B12" s="60">
        <f>Sheet1!D5</f>
        <v>100.41</v>
      </c>
      <c r="C12" s="66">
        <v>2012</v>
      </c>
      <c r="D12" s="22">
        <v>2025</v>
      </c>
      <c r="E12" s="54">
        <v>50</v>
      </c>
      <c r="F12" s="54">
        <v>18000</v>
      </c>
      <c r="G12" s="54">
        <f t="shared" si="2"/>
        <v>13</v>
      </c>
      <c r="H12" s="54">
        <v>10</v>
      </c>
      <c r="I12" s="54">
        <f t="shared" si="3"/>
        <v>37</v>
      </c>
      <c r="J12" s="54">
        <f t="shared" si="4"/>
        <v>23.4</v>
      </c>
      <c r="K12" s="54">
        <f t="shared" si="5"/>
        <v>4212</v>
      </c>
      <c r="L12" s="54">
        <f t="shared" si="6"/>
        <v>13788</v>
      </c>
      <c r="M12" s="54">
        <f t="shared" si="7"/>
        <v>422927</v>
      </c>
      <c r="N12" s="54">
        <f t="shared" si="8"/>
        <v>1384453</v>
      </c>
      <c r="O12" s="54">
        <f t="shared" si="9"/>
        <v>1807380</v>
      </c>
    </row>
    <row r="13" spans="1:15" s="21" customFormat="1" x14ac:dyDescent="0.3">
      <c r="A13" s="62" t="str">
        <f>Sheet1!B6</f>
        <v>Receving Shed</v>
      </c>
      <c r="B13" s="60">
        <f>Sheet1!D6</f>
        <v>990.26</v>
      </c>
      <c r="C13" s="66">
        <v>2012</v>
      </c>
      <c r="D13" s="22">
        <v>2025</v>
      </c>
      <c r="E13" s="54">
        <v>50</v>
      </c>
      <c r="F13" s="54">
        <v>15000</v>
      </c>
      <c r="G13" s="54">
        <f t="shared" si="2"/>
        <v>13</v>
      </c>
      <c r="H13" s="54">
        <v>10</v>
      </c>
      <c r="I13" s="54">
        <f t="shared" si="3"/>
        <v>37</v>
      </c>
      <c r="J13" s="54">
        <f t="shared" si="4"/>
        <v>23.4</v>
      </c>
      <c r="K13" s="54">
        <f t="shared" si="5"/>
        <v>3510</v>
      </c>
      <c r="L13" s="54">
        <f t="shared" si="6"/>
        <v>11490</v>
      </c>
      <c r="M13" s="54">
        <f t="shared" si="7"/>
        <v>3475813</v>
      </c>
      <c r="N13" s="54">
        <f t="shared" si="8"/>
        <v>11378087</v>
      </c>
      <c r="O13" s="54">
        <f t="shared" si="9"/>
        <v>14853900</v>
      </c>
    </row>
    <row r="14" spans="1:15" s="21" customFormat="1" x14ac:dyDescent="0.3">
      <c r="A14" s="62" t="str">
        <f>Sheet1!B7</f>
        <v>Pre - Treatment Shed</v>
      </c>
      <c r="B14" s="60">
        <f>Sheet1!D7</f>
        <v>2928.9</v>
      </c>
      <c r="C14" s="66">
        <v>2012</v>
      </c>
      <c r="D14" s="22">
        <v>2025</v>
      </c>
      <c r="E14" s="54">
        <v>50</v>
      </c>
      <c r="F14" s="54">
        <v>15000</v>
      </c>
      <c r="G14" s="54">
        <f t="shared" si="2"/>
        <v>13</v>
      </c>
      <c r="H14" s="54">
        <v>10</v>
      </c>
      <c r="I14" s="54">
        <f t="shared" si="3"/>
        <v>37</v>
      </c>
      <c r="J14" s="54">
        <f t="shared" si="4"/>
        <v>23.4</v>
      </c>
      <c r="K14" s="54">
        <f t="shared" si="5"/>
        <v>3510</v>
      </c>
      <c r="L14" s="54">
        <f t="shared" si="6"/>
        <v>11490</v>
      </c>
      <c r="M14" s="54">
        <f t="shared" si="7"/>
        <v>10280439</v>
      </c>
      <c r="N14" s="54">
        <f t="shared" si="8"/>
        <v>33653061</v>
      </c>
      <c r="O14" s="54">
        <f t="shared" si="9"/>
        <v>43933500</v>
      </c>
    </row>
    <row r="15" spans="1:15" s="21" customFormat="1" x14ac:dyDescent="0.3">
      <c r="A15" s="62" t="str">
        <f>Sheet1!B8</f>
        <v>Toilet Block</v>
      </c>
      <c r="B15" s="60">
        <f>Sheet1!D8</f>
        <v>42.86</v>
      </c>
      <c r="C15" s="66">
        <v>2012</v>
      </c>
      <c r="D15" s="22">
        <v>2025</v>
      </c>
      <c r="E15" s="54">
        <v>50</v>
      </c>
      <c r="F15" s="54">
        <v>12000</v>
      </c>
      <c r="G15" s="54">
        <f t="shared" si="2"/>
        <v>13</v>
      </c>
      <c r="H15" s="54">
        <v>10</v>
      </c>
      <c r="I15" s="54">
        <f t="shared" si="3"/>
        <v>37</v>
      </c>
      <c r="J15" s="54">
        <f t="shared" si="4"/>
        <v>23.4</v>
      </c>
      <c r="K15" s="54">
        <f t="shared" si="5"/>
        <v>2808</v>
      </c>
      <c r="L15" s="54">
        <f t="shared" si="6"/>
        <v>9192</v>
      </c>
      <c r="M15" s="54">
        <f t="shared" si="7"/>
        <v>120351</v>
      </c>
      <c r="N15" s="54">
        <f t="shared" si="8"/>
        <v>393969</v>
      </c>
      <c r="O15" s="54">
        <f t="shared" si="9"/>
        <v>514320</v>
      </c>
    </row>
    <row r="16" spans="1:15" s="21" customFormat="1" x14ac:dyDescent="0.3">
      <c r="A16" s="62" t="str">
        <f>Sheet1!B9</f>
        <v>Paper Storage</v>
      </c>
      <c r="B16" s="60">
        <f>Sheet1!D9</f>
        <v>76.474999999999994</v>
      </c>
      <c r="C16" s="66">
        <v>2012</v>
      </c>
      <c r="D16" s="22">
        <v>2025</v>
      </c>
      <c r="E16" s="54">
        <v>50</v>
      </c>
      <c r="F16" s="54">
        <v>12000</v>
      </c>
      <c r="G16" s="54">
        <f t="shared" si="2"/>
        <v>13</v>
      </c>
      <c r="H16" s="54">
        <v>10</v>
      </c>
      <c r="I16" s="54">
        <f t="shared" si="3"/>
        <v>37</v>
      </c>
      <c r="J16" s="54">
        <f t="shared" si="4"/>
        <v>23.4</v>
      </c>
      <c r="K16" s="54">
        <f t="shared" si="5"/>
        <v>2808</v>
      </c>
      <c r="L16" s="54">
        <f t="shared" si="6"/>
        <v>9192</v>
      </c>
      <c r="M16" s="54">
        <f t="shared" si="7"/>
        <v>214742</v>
      </c>
      <c r="N16" s="54">
        <f t="shared" si="8"/>
        <v>702958</v>
      </c>
      <c r="O16" s="54">
        <f t="shared" si="9"/>
        <v>917700</v>
      </c>
    </row>
    <row r="17" spans="1:15" s="21" customFormat="1" x14ac:dyDescent="0.3">
      <c r="A17" s="62" t="str">
        <f>Sheet1!B10</f>
        <v>Maturation Shed</v>
      </c>
      <c r="B17" s="60">
        <f>Sheet1!D10</f>
        <v>1724.17</v>
      </c>
      <c r="C17" s="66">
        <v>2012</v>
      </c>
      <c r="D17" s="22">
        <v>2025</v>
      </c>
      <c r="E17" s="54">
        <v>50</v>
      </c>
      <c r="F17" s="54">
        <v>15000</v>
      </c>
      <c r="G17" s="54">
        <f t="shared" si="2"/>
        <v>13</v>
      </c>
      <c r="H17" s="54">
        <v>10</v>
      </c>
      <c r="I17" s="54">
        <f t="shared" si="3"/>
        <v>37</v>
      </c>
      <c r="J17" s="54">
        <f t="shared" si="4"/>
        <v>23.4</v>
      </c>
      <c r="K17" s="54">
        <f t="shared" si="5"/>
        <v>3510</v>
      </c>
      <c r="L17" s="54">
        <f t="shared" si="6"/>
        <v>11490</v>
      </c>
      <c r="M17" s="54">
        <f t="shared" si="7"/>
        <v>6051837</v>
      </c>
      <c r="N17" s="54">
        <f t="shared" si="8"/>
        <v>19810713</v>
      </c>
      <c r="O17" s="54">
        <f t="shared" si="9"/>
        <v>25862550</v>
      </c>
    </row>
    <row r="18" spans="1:15" s="21" customFormat="1" x14ac:dyDescent="0.3">
      <c r="A18" s="62" t="str">
        <f>Sheet1!B11</f>
        <v>Pilot Plant</v>
      </c>
      <c r="B18" s="60">
        <f>Sheet1!D11</f>
        <v>441</v>
      </c>
      <c r="C18" s="66">
        <v>2012</v>
      </c>
      <c r="D18" s="22">
        <v>2025</v>
      </c>
      <c r="E18" s="54">
        <v>50</v>
      </c>
      <c r="F18" s="54">
        <v>7000</v>
      </c>
      <c r="G18" s="54">
        <f t="shared" si="2"/>
        <v>13</v>
      </c>
      <c r="H18" s="54">
        <v>10</v>
      </c>
      <c r="I18" s="54">
        <f t="shared" si="3"/>
        <v>37</v>
      </c>
      <c r="J18" s="54">
        <f t="shared" si="4"/>
        <v>23.4</v>
      </c>
      <c r="K18" s="54">
        <f t="shared" si="5"/>
        <v>1638</v>
      </c>
      <c r="L18" s="54">
        <f t="shared" si="6"/>
        <v>5362</v>
      </c>
      <c r="M18" s="54">
        <f t="shared" si="7"/>
        <v>722358</v>
      </c>
      <c r="N18" s="54">
        <f t="shared" si="8"/>
        <v>2364642</v>
      </c>
      <c r="O18" s="54">
        <f t="shared" si="9"/>
        <v>3087000</v>
      </c>
    </row>
    <row r="19" spans="1:15" s="21" customFormat="1" x14ac:dyDescent="0.3">
      <c r="A19" s="62" t="str">
        <f>Sheet1!B12</f>
        <v>RO Plant</v>
      </c>
      <c r="B19" s="60">
        <f>Sheet1!D12</f>
        <v>72</v>
      </c>
      <c r="C19" s="66">
        <v>2012</v>
      </c>
      <c r="D19" s="22">
        <v>2025</v>
      </c>
      <c r="E19" s="54">
        <v>50</v>
      </c>
      <c r="F19" s="54">
        <v>10000</v>
      </c>
      <c r="G19" s="54">
        <f t="shared" si="2"/>
        <v>13</v>
      </c>
      <c r="H19" s="54">
        <v>10</v>
      </c>
      <c r="I19" s="54">
        <f t="shared" si="3"/>
        <v>37</v>
      </c>
      <c r="J19" s="54">
        <f t="shared" si="4"/>
        <v>23.4</v>
      </c>
      <c r="K19" s="54">
        <f t="shared" si="5"/>
        <v>2340</v>
      </c>
      <c r="L19" s="54">
        <f t="shared" si="6"/>
        <v>7660</v>
      </c>
      <c r="M19" s="54">
        <f t="shared" si="7"/>
        <v>168480</v>
      </c>
      <c r="N19" s="54">
        <f t="shared" si="8"/>
        <v>551520</v>
      </c>
      <c r="O19" s="54">
        <f t="shared" si="9"/>
        <v>720000</v>
      </c>
    </row>
    <row r="20" spans="1:15" s="21" customFormat="1" x14ac:dyDescent="0.3">
      <c r="A20" s="62" t="str">
        <f>Sheet1!B13</f>
        <v>Engine Room</v>
      </c>
      <c r="B20" s="60">
        <f>Sheet1!D13</f>
        <v>402.81</v>
      </c>
      <c r="C20" s="66">
        <v>2012</v>
      </c>
      <c r="D20" s="22">
        <v>2025</v>
      </c>
      <c r="E20" s="54">
        <v>50</v>
      </c>
      <c r="F20" s="54">
        <v>18000</v>
      </c>
      <c r="G20" s="54">
        <f t="shared" si="2"/>
        <v>13</v>
      </c>
      <c r="H20" s="54">
        <v>10</v>
      </c>
      <c r="I20" s="54">
        <f t="shared" si="3"/>
        <v>37</v>
      </c>
      <c r="J20" s="54">
        <f t="shared" si="4"/>
        <v>23.4</v>
      </c>
      <c r="K20" s="54">
        <f t="shared" si="5"/>
        <v>4212</v>
      </c>
      <c r="L20" s="54">
        <f t="shared" si="6"/>
        <v>13788</v>
      </c>
      <c r="M20" s="54">
        <f t="shared" si="7"/>
        <v>1696636</v>
      </c>
      <c r="N20" s="54">
        <f t="shared" si="8"/>
        <v>5553944</v>
      </c>
      <c r="O20" s="54">
        <f t="shared" si="9"/>
        <v>7250580</v>
      </c>
    </row>
    <row r="21" spans="1:15" s="21" customFormat="1" x14ac:dyDescent="0.3">
      <c r="A21" s="62" t="str">
        <f>Sheet1!B14</f>
        <v>Panel Room</v>
      </c>
      <c r="B21" s="60">
        <f>Sheet1!D14</f>
        <v>63.04</v>
      </c>
      <c r="C21" s="66">
        <v>2012</v>
      </c>
      <c r="D21" s="22">
        <v>2025</v>
      </c>
      <c r="E21" s="54">
        <v>50</v>
      </c>
      <c r="F21" s="54">
        <v>18000</v>
      </c>
      <c r="G21" s="54">
        <f t="shared" si="2"/>
        <v>13</v>
      </c>
      <c r="H21" s="54">
        <v>10</v>
      </c>
      <c r="I21" s="54">
        <f t="shared" si="3"/>
        <v>37</v>
      </c>
      <c r="J21" s="54">
        <f t="shared" si="4"/>
        <v>23.4</v>
      </c>
      <c r="K21" s="54">
        <f t="shared" si="5"/>
        <v>4212</v>
      </c>
      <c r="L21" s="54">
        <f t="shared" si="6"/>
        <v>13788</v>
      </c>
      <c r="M21" s="54">
        <f t="shared" si="7"/>
        <v>265524</v>
      </c>
      <c r="N21" s="54">
        <f t="shared" si="8"/>
        <v>869196</v>
      </c>
      <c r="O21" s="54">
        <f t="shared" si="9"/>
        <v>1134720</v>
      </c>
    </row>
    <row r="22" spans="1:15" s="21" customFormat="1" ht="33" x14ac:dyDescent="0.3">
      <c r="A22" s="62" t="str">
        <f>Sheet1!B15</f>
        <v>Security Cabin &amp; Weigh Bridge Cabin</v>
      </c>
      <c r="B22" s="60">
        <f>Sheet1!D15</f>
        <v>18</v>
      </c>
      <c r="C22" s="66">
        <v>2012</v>
      </c>
      <c r="D22" s="22">
        <v>2025</v>
      </c>
      <c r="E22" s="54">
        <v>50</v>
      </c>
      <c r="F22" s="54">
        <v>10000</v>
      </c>
      <c r="G22" s="54">
        <f t="shared" si="2"/>
        <v>13</v>
      </c>
      <c r="H22" s="54">
        <v>10</v>
      </c>
      <c r="I22" s="54">
        <f t="shared" si="3"/>
        <v>37</v>
      </c>
      <c r="J22" s="54">
        <f t="shared" si="4"/>
        <v>23.4</v>
      </c>
      <c r="K22" s="54">
        <f t="shared" si="5"/>
        <v>2340</v>
      </c>
      <c r="L22" s="54">
        <f t="shared" si="6"/>
        <v>7660</v>
      </c>
      <c r="M22" s="54">
        <f t="shared" si="7"/>
        <v>42120</v>
      </c>
      <c r="N22" s="54">
        <f t="shared" si="8"/>
        <v>137880</v>
      </c>
      <c r="O22" s="54">
        <f t="shared" si="9"/>
        <v>180000</v>
      </c>
    </row>
    <row r="23" spans="1:15" s="21" customFormat="1" x14ac:dyDescent="0.3">
      <c r="A23" s="62" t="str">
        <f>Sheet1!B16</f>
        <v>Worker Room</v>
      </c>
      <c r="B23" s="60">
        <f>Sheet1!D16</f>
        <v>36</v>
      </c>
      <c r="C23" s="66">
        <v>2012</v>
      </c>
      <c r="D23" s="22">
        <v>2025</v>
      </c>
      <c r="E23" s="54">
        <v>50</v>
      </c>
      <c r="F23" s="54">
        <v>10000</v>
      </c>
      <c r="G23" s="54">
        <f t="shared" ref="G23:G25" si="10">D23-C23</f>
        <v>13</v>
      </c>
      <c r="H23" s="54">
        <v>10</v>
      </c>
      <c r="I23" s="54">
        <f t="shared" ref="I23:I25" si="11">E23-G23</f>
        <v>37</v>
      </c>
      <c r="J23" s="54">
        <f t="shared" ref="J23:J25" si="12">IF(G23&gt;=5,90*G23/E23,0)</f>
        <v>23.4</v>
      </c>
      <c r="K23" s="54">
        <f t="shared" ref="K23:K25" si="13">F23/100*J23</f>
        <v>2340</v>
      </c>
      <c r="L23" s="54">
        <f t="shared" ref="L23:L25" si="14">ROUND((F23-K23),0)</f>
        <v>7660</v>
      </c>
      <c r="M23" s="54">
        <f t="shared" ref="M23:M25" si="15">O23-N23</f>
        <v>84240</v>
      </c>
      <c r="N23" s="54">
        <f t="shared" ref="N23:N25" si="16">ROUND(L23*B23,0)</f>
        <v>275760</v>
      </c>
      <c r="O23" s="54">
        <f t="shared" ref="O23:O25" si="17">ROUND(F23*B23,0)</f>
        <v>360000</v>
      </c>
    </row>
    <row r="24" spans="1:15" s="21" customFormat="1" x14ac:dyDescent="0.3">
      <c r="A24" s="62" t="str">
        <f>Sheet1!B17</f>
        <v>Digestor Tank in Litres</v>
      </c>
      <c r="B24" s="60">
        <f>Sheet1!D17</f>
        <v>7000000</v>
      </c>
      <c r="C24" s="66">
        <v>2012</v>
      </c>
      <c r="D24" s="22">
        <v>2025</v>
      </c>
      <c r="E24" s="54">
        <v>50</v>
      </c>
      <c r="F24" s="54">
        <v>8</v>
      </c>
      <c r="G24" s="54">
        <f t="shared" si="10"/>
        <v>13</v>
      </c>
      <c r="H24" s="54">
        <v>10</v>
      </c>
      <c r="I24" s="54">
        <f t="shared" si="11"/>
        <v>37</v>
      </c>
      <c r="J24" s="54">
        <f t="shared" si="12"/>
        <v>23.4</v>
      </c>
      <c r="K24" s="54">
        <f t="shared" si="13"/>
        <v>1.8719999999999999</v>
      </c>
      <c r="L24" s="54">
        <f t="shared" si="14"/>
        <v>6</v>
      </c>
      <c r="M24" s="54">
        <f t="shared" si="15"/>
        <v>14000000</v>
      </c>
      <c r="N24" s="54">
        <f t="shared" si="16"/>
        <v>42000000</v>
      </c>
      <c r="O24" s="54">
        <f t="shared" si="17"/>
        <v>56000000</v>
      </c>
    </row>
    <row r="25" spans="1:15" s="21" customFormat="1" x14ac:dyDescent="0.3">
      <c r="A25" s="62" t="str">
        <f>Sheet1!B18</f>
        <v>Gas Holder Tank</v>
      </c>
      <c r="B25" s="60">
        <f>Sheet1!D18</f>
        <v>803.84</v>
      </c>
      <c r="C25" s="66">
        <v>2012</v>
      </c>
      <c r="D25" s="22">
        <v>2025</v>
      </c>
      <c r="E25" s="54">
        <v>50</v>
      </c>
      <c r="F25" s="54">
        <v>5000</v>
      </c>
      <c r="G25" s="54">
        <f t="shared" si="10"/>
        <v>13</v>
      </c>
      <c r="H25" s="54">
        <v>10</v>
      </c>
      <c r="I25" s="54">
        <f t="shared" si="11"/>
        <v>37</v>
      </c>
      <c r="J25" s="54">
        <f t="shared" si="12"/>
        <v>23.4</v>
      </c>
      <c r="K25" s="54">
        <f t="shared" si="13"/>
        <v>1170</v>
      </c>
      <c r="L25" s="54">
        <f t="shared" si="14"/>
        <v>3830</v>
      </c>
      <c r="M25" s="54">
        <f t="shared" si="15"/>
        <v>940493</v>
      </c>
      <c r="N25" s="54">
        <f t="shared" si="16"/>
        <v>3078707</v>
      </c>
      <c r="O25" s="54">
        <f t="shared" si="17"/>
        <v>4019200</v>
      </c>
    </row>
    <row r="26" spans="1:15" s="25" customFormat="1" x14ac:dyDescent="0.3">
      <c r="A26" s="24" t="s">
        <v>20</v>
      </c>
      <c r="B26" s="58"/>
      <c r="C26" s="57"/>
      <c r="D26" s="57"/>
      <c r="E26" s="55"/>
      <c r="F26" s="54"/>
      <c r="G26" s="56"/>
      <c r="H26" s="56"/>
      <c r="I26" s="56"/>
      <c r="J26" s="56"/>
      <c r="K26" s="56"/>
      <c r="L26" s="56"/>
      <c r="M26" s="58">
        <f>SUM(M9:M25)</f>
        <v>38929947</v>
      </c>
      <c r="N26" s="58">
        <f>SUM(N9:N25)</f>
        <v>123608283</v>
      </c>
      <c r="O26" s="58">
        <f>SUM(O9:O25)</f>
        <v>162538230</v>
      </c>
    </row>
    <row r="27" spans="1:15" x14ac:dyDescent="0.3">
      <c r="B27" s="50"/>
      <c r="C27" s="23"/>
      <c r="D27" s="23"/>
      <c r="E27" s="23"/>
      <c r="F27" s="27"/>
      <c r="G27" s="27"/>
      <c r="H27" s="27"/>
      <c r="I27" s="27"/>
      <c r="J27" s="23"/>
      <c r="K27" s="28"/>
      <c r="L27" s="29"/>
      <c r="M27" s="61"/>
      <c r="N27" s="30"/>
      <c r="O27" s="1"/>
    </row>
    <row r="28" spans="1:15" x14ac:dyDescent="0.3">
      <c r="A28" s="129" t="s">
        <v>21</v>
      </c>
      <c r="B28" s="129"/>
      <c r="C28" s="23"/>
      <c r="D28" s="23"/>
      <c r="F28" s="30"/>
      <c r="G28" s="30"/>
      <c r="H28" s="30"/>
      <c r="I28" s="1"/>
      <c r="J28" s="1"/>
      <c r="L28" s="1"/>
      <c r="N28" s="1"/>
      <c r="O28" s="1"/>
    </row>
    <row r="29" spans="1:15" x14ac:dyDescent="0.3">
      <c r="A29" s="11" t="s">
        <v>22</v>
      </c>
      <c r="B29" s="46">
        <v>0</v>
      </c>
      <c r="C29" s="23"/>
      <c r="D29" s="23"/>
      <c r="F29" s="30"/>
      <c r="G29" s="30"/>
      <c r="H29" s="30"/>
      <c r="I29" s="1"/>
      <c r="J29" s="1"/>
      <c r="L29" s="1"/>
      <c r="N29" s="1"/>
      <c r="O29" s="1"/>
    </row>
    <row r="30" spans="1:15" x14ac:dyDescent="0.3">
      <c r="A30" s="12" t="s">
        <v>4</v>
      </c>
      <c r="B30" s="47">
        <v>0</v>
      </c>
      <c r="C30" s="23"/>
      <c r="D30" s="23"/>
      <c r="F30" s="30"/>
      <c r="G30" s="30"/>
      <c r="H30" s="30"/>
      <c r="I30" s="1" t="s">
        <v>28</v>
      </c>
      <c r="J30" s="1"/>
      <c r="L30" s="1"/>
      <c r="N30" s="1"/>
      <c r="O30" s="1"/>
    </row>
    <row r="31" spans="1:15" x14ac:dyDescent="0.3">
      <c r="A31" s="12" t="s">
        <v>5</v>
      </c>
      <c r="B31" s="46">
        <f>ROUND((B29*B30),0)</f>
        <v>0</v>
      </c>
      <c r="C31" s="23"/>
      <c r="D31" s="23"/>
      <c r="F31" s="30"/>
      <c r="G31" s="30"/>
      <c r="H31" s="30"/>
      <c r="I31" s="1"/>
      <c r="J31" s="1"/>
      <c r="L31" s="1"/>
      <c r="N31" s="1"/>
      <c r="O31" s="1"/>
    </row>
    <row r="32" spans="1:15" x14ac:dyDescent="0.3">
      <c r="A32" s="26"/>
      <c r="B32" s="59"/>
      <c r="C32" s="23"/>
      <c r="D32" s="23"/>
      <c r="F32" s="30"/>
      <c r="G32" s="30"/>
      <c r="H32" s="30"/>
      <c r="I32" s="1"/>
      <c r="J32" s="1"/>
      <c r="L32" s="1"/>
      <c r="N32" s="1"/>
      <c r="O32" s="1"/>
    </row>
    <row r="33" spans="1:15" x14ac:dyDescent="0.3">
      <c r="A33" s="130" t="s">
        <v>12</v>
      </c>
      <c r="B33" s="131"/>
      <c r="C33" s="23"/>
      <c r="D33" s="27"/>
      <c r="F33" s="27"/>
      <c r="G33" s="1"/>
      <c r="H33" s="1"/>
      <c r="I33" s="1"/>
      <c r="J33" s="1"/>
      <c r="L33" s="1"/>
      <c r="N33" s="1"/>
      <c r="O33" s="1"/>
    </row>
    <row r="34" spans="1:15" x14ac:dyDescent="0.3">
      <c r="A34" s="11" t="s">
        <v>8</v>
      </c>
      <c r="B34" s="46">
        <f>B2-B9</f>
        <v>0</v>
      </c>
      <c r="C34" s="31"/>
      <c r="D34" s="3"/>
      <c r="G34" s="1"/>
      <c r="H34" s="1"/>
      <c r="I34" s="1"/>
      <c r="J34" s="1"/>
      <c r="L34" s="1"/>
      <c r="N34" s="1"/>
      <c r="O34" s="1"/>
    </row>
    <row r="35" spans="1:15" x14ac:dyDescent="0.3">
      <c r="A35" s="12" t="s">
        <v>4</v>
      </c>
      <c r="B35" s="47">
        <v>0</v>
      </c>
      <c r="C35" s="16"/>
      <c r="D35" s="51"/>
      <c r="G35" s="1"/>
      <c r="H35" s="1"/>
      <c r="I35" s="1"/>
      <c r="J35" s="1"/>
      <c r="L35" s="1"/>
      <c r="N35" s="1"/>
      <c r="O35" s="1"/>
    </row>
    <row r="36" spans="1:15" x14ac:dyDescent="0.3">
      <c r="A36" s="12" t="s">
        <v>5</v>
      </c>
      <c r="B36" s="46">
        <v>5000000</v>
      </c>
      <c r="C36" s="3"/>
      <c r="F36" s="1"/>
      <c r="G36" s="1"/>
      <c r="H36" s="1"/>
      <c r="I36" s="1"/>
      <c r="J36" s="1"/>
      <c r="L36" s="1"/>
      <c r="N36" s="1"/>
      <c r="O36" s="1"/>
    </row>
    <row r="37" spans="1:15" x14ac:dyDescent="0.3">
      <c r="B37" s="51"/>
      <c r="C37" s="10"/>
      <c r="D37" s="3"/>
      <c r="E37" s="3"/>
      <c r="F37" s="6"/>
      <c r="G37" s="6"/>
      <c r="H37" s="1"/>
      <c r="J37" s="10"/>
      <c r="K37" s="3"/>
      <c r="N37" s="1"/>
      <c r="O37" s="1"/>
    </row>
    <row r="38" spans="1:15" ht="33" x14ac:dyDescent="0.3">
      <c r="A38" s="77" t="s">
        <v>31</v>
      </c>
      <c r="B38" s="78" t="s">
        <v>66</v>
      </c>
      <c r="C38" s="6"/>
      <c r="G38" s="10"/>
      <c r="L38" s="1"/>
      <c r="N38" s="1"/>
      <c r="O38" s="1"/>
    </row>
    <row r="39" spans="1:15" x14ac:dyDescent="0.3">
      <c r="A39" s="75" t="s">
        <v>10</v>
      </c>
      <c r="B39" s="76">
        <f>B4</f>
        <v>0</v>
      </c>
      <c r="C39" s="9"/>
      <c r="G39" s="7"/>
      <c r="L39" s="1"/>
      <c r="N39" s="1"/>
      <c r="O39" s="1"/>
    </row>
    <row r="40" spans="1:15" x14ac:dyDescent="0.3">
      <c r="A40" s="32" t="s">
        <v>11</v>
      </c>
      <c r="B40" s="46">
        <f>N26</f>
        <v>123608283</v>
      </c>
      <c r="C40" s="9"/>
      <c r="G40" s="9"/>
      <c r="L40" s="1"/>
      <c r="N40" s="1"/>
      <c r="O40" s="1"/>
    </row>
    <row r="41" spans="1:15" ht="33" x14ac:dyDescent="0.3">
      <c r="A41" s="32" t="s">
        <v>23</v>
      </c>
      <c r="B41" s="46">
        <f>B31</f>
        <v>0</v>
      </c>
      <c r="C41" s="9"/>
      <c r="G41" s="9"/>
      <c r="L41" s="1"/>
      <c r="N41" s="1"/>
      <c r="O41" s="1"/>
    </row>
    <row r="42" spans="1:15" x14ac:dyDescent="0.3">
      <c r="A42" s="32" t="s">
        <v>9</v>
      </c>
      <c r="B42" s="46">
        <f>B36</f>
        <v>5000000</v>
      </c>
      <c r="C42" s="9"/>
      <c r="G42" s="9"/>
      <c r="L42" s="1"/>
      <c r="N42" s="1"/>
      <c r="O42" s="1"/>
    </row>
    <row r="43" spans="1:15" ht="33" x14ac:dyDescent="0.3">
      <c r="A43" s="33" t="s">
        <v>27</v>
      </c>
      <c r="B43" s="52">
        <f>B39+B40+B41+B42</f>
        <v>128608283</v>
      </c>
      <c r="C43" s="3"/>
      <c r="G43" s="1"/>
      <c r="L43" s="1"/>
      <c r="N43" s="1"/>
      <c r="O43" s="1"/>
    </row>
    <row r="44" spans="1:15" x14ac:dyDescent="0.3">
      <c r="A44" s="33" t="s">
        <v>6</v>
      </c>
      <c r="B44" s="52">
        <f>ROUND(B43*0.9,0)</f>
        <v>115747455</v>
      </c>
      <c r="C44" s="14"/>
      <c r="G44" s="1"/>
      <c r="L44" s="1"/>
      <c r="N44" s="1"/>
      <c r="O44" s="1"/>
    </row>
    <row r="45" spans="1:15" x14ac:dyDescent="0.3">
      <c r="A45" s="33" t="s">
        <v>7</v>
      </c>
      <c r="B45" s="52">
        <f>MROUND(B43*80%,1)</f>
        <v>102886626</v>
      </c>
      <c r="C45" s="14"/>
      <c r="G45" s="1"/>
      <c r="L45" s="1"/>
      <c r="N45" s="1"/>
      <c r="O45" s="1"/>
    </row>
    <row r="46" spans="1:15" x14ac:dyDescent="0.3">
      <c r="A46" s="33" t="s">
        <v>24</v>
      </c>
      <c r="B46" s="52">
        <f>ROUND(O26*0.85,0)</f>
        <v>138157496</v>
      </c>
      <c r="C46" s="3"/>
      <c r="G46" s="1"/>
      <c r="J46" s="34"/>
      <c r="L46" s="1"/>
      <c r="N46" s="1"/>
      <c r="O46" s="1"/>
    </row>
    <row r="47" spans="1:15" x14ac:dyDescent="0.3">
      <c r="A47" s="32" t="s">
        <v>25</v>
      </c>
      <c r="B47" s="52">
        <f>C4+N26</f>
        <v>123608283</v>
      </c>
      <c r="C47" s="3"/>
      <c r="G47" s="1"/>
      <c r="J47" s="34"/>
      <c r="L47" s="1"/>
      <c r="N47" s="1"/>
      <c r="O47" s="1"/>
    </row>
    <row r="48" spans="1:15" x14ac:dyDescent="0.3">
      <c r="A48" s="1"/>
      <c r="C48" s="3"/>
      <c r="D48" s="3"/>
      <c r="E48" s="3"/>
      <c r="H48" s="1"/>
      <c r="J48" s="1"/>
      <c r="K48" s="3"/>
      <c r="N48" s="1"/>
      <c r="O48" s="1"/>
    </row>
    <row r="49" spans="1:15" x14ac:dyDescent="0.3">
      <c r="A49" s="1"/>
      <c r="C49" s="3"/>
      <c r="D49" s="3"/>
      <c r="E49" s="3"/>
      <c r="H49" s="1"/>
      <c r="J49" s="35"/>
      <c r="K49" s="3"/>
      <c r="N49" s="1"/>
      <c r="O49" s="1"/>
    </row>
    <row r="50" spans="1:15" x14ac:dyDescent="0.3">
      <c r="A50" s="1"/>
      <c r="C50" s="3"/>
      <c r="D50" s="3"/>
      <c r="E50" s="3"/>
      <c r="H50" s="1"/>
      <c r="J50" s="35"/>
      <c r="K50" s="3"/>
      <c r="N50" s="1"/>
      <c r="O50" s="1"/>
    </row>
    <row r="51" spans="1:15" x14ac:dyDescent="0.3">
      <c r="A51" s="1"/>
      <c r="C51" s="3"/>
      <c r="D51" s="3"/>
      <c r="E51" s="3"/>
      <c r="H51" s="1"/>
      <c r="J51" s="35"/>
      <c r="K51" s="3"/>
      <c r="N51" s="1"/>
      <c r="O51" s="1"/>
    </row>
    <row r="52" spans="1:15" x14ac:dyDescent="0.3">
      <c r="A52" s="1"/>
      <c r="C52" s="3"/>
      <c r="D52" s="3"/>
      <c r="E52" s="3"/>
      <c r="H52" s="1"/>
      <c r="J52" s="35"/>
      <c r="K52" s="3"/>
      <c r="N52" s="1"/>
      <c r="O52" s="1"/>
    </row>
    <row r="53" spans="1:15" x14ac:dyDescent="0.3">
      <c r="A53" s="1"/>
      <c r="C53" s="3"/>
      <c r="D53" s="3"/>
      <c r="E53" s="3"/>
      <c r="H53" s="1"/>
      <c r="J53" s="35"/>
      <c r="K53" s="3"/>
      <c r="N53" s="1"/>
      <c r="O53" s="1"/>
    </row>
    <row r="54" spans="1:15" x14ac:dyDescent="0.3">
      <c r="A54" s="1"/>
      <c r="C54" s="3"/>
      <c r="D54" s="3"/>
      <c r="E54" s="3"/>
      <c r="H54" s="1"/>
      <c r="J54" s="35"/>
      <c r="K54" s="3"/>
      <c r="N54" s="1"/>
      <c r="O54" s="1"/>
    </row>
    <row r="55" spans="1:15" x14ac:dyDescent="0.3">
      <c r="A55" s="1"/>
      <c r="C55" s="3"/>
      <c r="D55" s="3"/>
      <c r="E55" s="3"/>
      <c r="H55" s="1"/>
      <c r="J55" s="35"/>
      <c r="K55" s="3"/>
      <c r="N55" s="1"/>
      <c r="O55" s="1"/>
    </row>
    <row r="56" spans="1:15" x14ac:dyDescent="0.3">
      <c r="A56" s="1"/>
      <c r="C56" s="3"/>
      <c r="D56" s="3"/>
      <c r="E56" s="3"/>
      <c r="H56" s="1"/>
      <c r="J56" s="1"/>
      <c r="K56" s="3"/>
      <c r="N56" s="1"/>
      <c r="O56" s="1"/>
    </row>
    <row r="57" spans="1:15" x14ac:dyDescent="0.3">
      <c r="A57" s="1"/>
      <c r="C57" s="3"/>
      <c r="D57" s="3"/>
      <c r="E57" s="3"/>
      <c r="H57" s="1"/>
      <c r="J57" s="1"/>
      <c r="K57" s="3"/>
      <c r="N57" s="1"/>
      <c r="O57" s="1"/>
    </row>
    <row r="58" spans="1:15" x14ac:dyDescent="0.3">
      <c r="A58" s="1"/>
      <c r="B58" s="45"/>
      <c r="C58" s="3"/>
      <c r="D58" s="3"/>
      <c r="E58" s="3"/>
      <c r="H58" s="1"/>
      <c r="J58" s="1"/>
      <c r="K58" s="3"/>
      <c r="N58" s="1"/>
      <c r="O58" s="1"/>
    </row>
    <row r="59" spans="1:15" x14ac:dyDescent="0.3">
      <c r="A59" s="1"/>
      <c r="B59" s="45"/>
      <c r="C59" s="3"/>
      <c r="D59" s="3"/>
      <c r="E59" s="3"/>
      <c r="H59" s="1"/>
      <c r="J59" s="1"/>
      <c r="K59" s="3"/>
      <c r="N59" s="1"/>
      <c r="O59" s="1"/>
    </row>
    <row r="60" spans="1:15" x14ac:dyDescent="0.3">
      <c r="A60" s="1"/>
      <c r="B60" s="45"/>
      <c r="C60" s="3"/>
      <c r="D60" s="3"/>
      <c r="E60" s="3"/>
      <c r="H60" s="1"/>
      <c r="J60" s="1"/>
      <c r="K60" s="3"/>
      <c r="N60" s="1"/>
      <c r="O60" s="1"/>
    </row>
    <row r="61" spans="1:15" x14ac:dyDescent="0.3">
      <c r="A61" s="1"/>
      <c r="B61" s="45"/>
      <c r="C61" s="3"/>
      <c r="D61" s="3"/>
      <c r="E61" s="3"/>
      <c r="H61" s="1"/>
      <c r="J61" s="1"/>
      <c r="K61" s="3"/>
      <c r="N61" s="1"/>
      <c r="O61" s="1"/>
    </row>
    <row r="62" spans="1:15" x14ac:dyDescent="0.3">
      <c r="A62" s="1"/>
      <c r="B62" s="45"/>
      <c r="C62" s="3"/>
      <c r="D62" s="3"/>
      <c r="E62" s="3"/>
      <c r="H62" s="1"/>
      <c r="J62" s="1"/>
      <c r="K62" s="3"/>
      <c r="N62" s="1"/>
      <c r="O62" s="1"/>
    </row>
    <row r="63" spans="1:15" x14ac:dyDescent="0.3">
      <c r="A63" s="1"/>
      <c r="B63" s="45"/>
      <c r="C63" s="3"/>
      <c r="D63" s="3"/>
      <c r="E63" s="3"/>
      <c r="H63" s="1"/>
      <c r="J63" s="1"/>
      <c r="K63" s="3"/>
      <c r="N63" s="1"/>
      <c r="O63" s="1"/>
    </row>
    <row r="64" spans="1:15" x14ac:dyDescent="0.3">
      <c r="A64" s="1"/>
      <c r="B64" s="45"/>
      <c r="C64" s="3"/>
      <c r="D64" s="3"/>
      <c r="E64" s="3"/>
      <c r="H64" s="1"/>
      <c r="J64" s="1"/>
      <c r="K64" s="3"/>
      <c r="N64" s="1"/>
      <c r="O64" s="1"/>
    </row>
    <row r="65" spans="1:15" x14ac:dyDescent="0.3">
      <c r="A65" s="1"/>
      <c r="B65" s="45"/>
      <c r="C65" s="3"/>
      <c r="D65" s="3"/>
      <c r="E65" s="3"/>
      <c r="H65" s="1"/>
      <c r="J65" s="1"/>
      <c r="K65" s="3"/>
      <c r="N65" s="1"/>
      <c r="O65" s="1"/>
    </row>
    <row r="66" spans="1:15" x14ac:dyDescent="0.3">
      <c r="A66" s="1"/>
      <c r="B66" s="45"/>
      <c r="C66" s="3"/>
      <c r="D66" s="3"/>
      <c r="E66" s="3"/>
      <c r="H66" s="1"/>
      <c r="J66" s="1"/>
      <c r="K66" s="3"/>
      <c r="N66" s="1"/>
      <c r="O66" s="1"/>
    </row>
    <row r="67" spans="1:15" x14ac:dyDescent="0.3">
      <c r="A67" s="1"/>
      <c r="B67" s="45"/>
      <c r="C67" s="36"/>
      <c r="D67" s="36"/>
      <c r="E67" s="36"/>
      <c r="F67" s="36"/>
      <c r="G67" s="36"/>
      <c r="H67" s="5"/>
      <c r="J67" s="1"/>
      <c r="K67" s="3"/>
      <c r="N67" s="1"/>
      <c r="O67" s="1"/>
    </row>
    <row r="68" spans="1:15" x14ac:dyDescent="0.3">
      <c r="A68" s="1"/>
      <c r="B68" s="45"/>
      <c r="C68" s="34"/>
      <c r="F68" s="34"/>
      <c r="G68" s="34"/>
      <c r="H68" s="1"/>
      <c r="J68" s="1"/>
      <c r="K68" s="3"/>
      <c r="N68" s="1"/>
      <c r="O68" s="1"/>
    </row>
    <row r="69" spans="1:15" x14ac:dyDescent="0.3">
      <c r="A69" s="1"/>
      <c r="B69" s="45"/>
      <c r="C69" s="34"/>
      <c r="D69" s="34"/>
      <c r="E69" s="34"/>
      <c r="F69" s="44"/>
      <c r="G69" s="44"/>
      <c r="H69" s="1"/>
      <c r="J69" s="1"/>
      <c r="K69" s="3"/>
      <c r="N69" s="1"/>
      <c r="O69" s="1"/>
    </row>
    <row r="70" spans="1:15" x14ac:dyDescent="0.3">
      <c r="A70" s="1"/>
      <c r="B70" s="45"/>
      <c r="C70" s="34"/>
      <c r="D70" s="34"/>
      <c r="E70" s="34"/>
      <c r="F70" s="34"/>
      <c r="G70" s="34"/>
      <c r="H70" s="1"/>
      <c r="J70" s="1"/>
      <c r="K70" s="3"/>
      <c r="N70" s="1"/>
      <c r="O70" s="1"/>
    </row>
    <row r="71" spans="1:15" x14ac:dyDescent="0.3">
      <c r="A71" s="1"/>
      <c r="B71" s="45"/>
      <c r="C71" s="34"/>
      <c r="D71" s="37"/>
      <c r="E71" s="37"/>
      <c r="F71" s="34"/>
      <c r="G71" s="34"/>
      <c r="H71" s="1"/>
      <c r="J71" s="1"/>
      <c r="K71" s="3"/>
      <c r="N71" s="1"/>
      <c r="O71" s="1"/>
    </row>
    <row r="72" spans="1:15" x14ac:dyDescent="0.3">
      <c r="A72" s="1"/>
      <c r="B72" s="45"/>
      <c r="C72" s="34"/>
      <c r="D72" s="34"/>
      <c r="E72" s="34"/>
      <c r="F72" s="34"/>
      <c r="G72" s="34"/>
      <c r="H72" s="1"/>
      <c r="J72" s="1"/>
      <c r="K72" s="3"/>
      <c r="N72" s="1"/>
      <c r="O72" s="1"/>
    </row>
    <row r="73" spans="1:15" x14ac:dyDescent="0.3">
      <c r="A73" s="1"/>
      <c r="B73" s="45"/>
      <c r="C73" s="34"/>
      <c r="D73" s="34"/>
      <c r="E73" s="34"/>
      <c r="F73" s="34"/>
      <c r="G73" s="34"/>
      <c r="H73" s="1"/>
      <c r="J73" s="1"/>
      <c r="K73" s="3"/>
      <c r="N73" s="1"/>
      <c r="O73" s="1"/>
    </row>
    <row r="74" spans="1:15" x14ac:dyDescent="0.3">
      <c r="A74" s="1"/>
      <c r="B74" s="45"/>
      <c r="C74" s="34"/>
      <c r="D74" s="34"/>
      <c r="E74" s="34"/>
      <c r="F74" s="34"/>
      <c r="G74" s="34"/>
      <c r="H74" s="1"/>
      <c r="J74" s="1"/>
      <c r="K74" s="3"/>
      <c r="N74" s="1"/>
      <c r="O74" s="1"/>
    </row>
    <row r="75" spans="1:15" x14ac:dyDescent="0.3">
      <c r="A75" s="1"/>
      <c r="B75" s="45"/>
      <c r="C75" s="34"/>
      <c r="D75" s="34"/>
      <c r="E75" s="34"/>
      <c r="F75" s="34"/>
      <c r="G75" s="34"/>
      <c r="H75" s="1"/>
      <c r="J75" s="1"/>
      <c r="K75" s="3"/>
      <c r="N75" s="1"/>
      <c r="O75" s="1"/>
    </row>
    <row r="76" spans="1:15" x14ac:dyDescent="0.3">
      <c r="A76" s="1"/>
      <c r="B76" s="45"/>
      <c r="C76" s="34"/>
      <c r="D76" s="34"/>
      <c r="E76" s="34"/>
      <c r="F76" s="34"/>
      <c r="G76" s="34"/>
      <c r="H76" s="1"/>
      <c r="J76" s="1"/>
      <c r="K76" s="3"/>
      <c r="N76" s="1"/>
      <c r="O76" s="1"/>
    </row>
    <row r="77" spans="1:15" x14ac:dyDescent="0.3">
      <c r="A77" s="1"/>
      <c r="B77" s="45"/>
      <c r="C77" s="34"/>
      <c r="D77" s="34"/>
      <c r="E77" s="34"/>
      <c r="F77" s="34"/>
      <c r="G77" s="34"/>
      <c r="H77" s="1"/>
      <c r="J77" s="1"/>
      <c r="K77" s="3"/>
      <c r="N77" s="1"/>
      <c r="O77" s="1"/>
    </row>
    <row r="78" spans="1:15" x14ac:dyDescent="0.3">
      <c r="A78" s="1"/>
      <c r="B78" s="45"/>
      <c r="C78" s="3"/>
      <c r="D78" s="3"/>
      <c r="E78" s="3"/>
      <c r="H78" s="1"/>
      <c r="J78" s="1"/>
      <c r="K78" s="3"/>
      <c r="N78" s="1"/>
      <c r="O78" s="1"/>
    </row>
    <row r="79" spans="1:15" x14ac:dyDescent="0.3">
      <c r="A79" s="1"/>
      <c r="B79" s="45"/>
      <c r="C79" s="3"/>
      <c r="D79" s="3"/>
      <c r="E79" s="3"/>
      <c r="H79" s="1"/>
      <c r="J79" s="1"/>
      <c r="K79" s="3"/>
      <c r="N79" s="1"/>
      <c r="O79" s="1"/>
    </row>
    <row r="80" spans="1:15" x14ac:dyDescent="0.3">
      <c r="A80" s="1"/>
      <c r="B80" s="45"/>
      <c r="C80" s="3"/>
      <c r="D80" s="3"/>
      <c r="E80" s="3"/>
      <c r="H80" s="1"/>
      <c r="J80" s="1"/>
      <c r="K80" s="3"/>
      <c r="N80" s="1"/>
      <c r="O80" s="1"/>
    </row>
    <row r="81" spans="1:15" x14ac:dyDescent="0.3">
      <c r="A81" s="1"/>
      <c r="B81" s="45"/>
      <c r="C81" s="3"/>
      <c r="D81" s="3"/>
      <c r="E81" s="3"/>
      <c r="H81" s="1"/>
      <c r="J81" s="1"/>
      <c r="K81" s="3"/>
      <c r="N81" s="1"/>
      <c r="O81" s="1"/>
    </row>
    <row r="82" spans="1:15" x14ac:dyDescent="0.3">
      <c r="A82" s="1"/>
      <c r="B82" s="45"/>
      <c r="C82" s="3"/>
      <c r="D82" s="3"/>
      <c r="E82" s="3"/>
      <c r="H82" s="1"/>
      <c r="J82" s="1"/>
      <c r="K82" s="3"/>
      <c r="N82" s="1"/>
      <c r="O82" s="1"/>
    </row>
    <row r="83" spans="1:15" x14ac:dyDescent="0.3">
      <c r="A83" s="1"/>
      <c r="B83" s="45"/>
      <c r="C83" s="38"/>
      <c r="D83" s="3"/>
      <c r="E83" s="3"/>
      <c r="H83" s="1"/>
      <c r="J83" s="1"/>
      <c r="K83" s="3"/>
      <c r="N83" s="1"/>
      <c r="O83" s="1"/>
    </row>
    <row r="84" spans="1:15" x14ac:dyDescent="0.3">
      <c r="A84" s="1"/>
      <c r="B84" s="45"/>
      <c r="C84" s="38"/>
      <c r="D84" s="3"/>
      <c r="E84" s="3"/>
      <c r="H84" s="1"/>
      <c r="J84" s="1"/>
      <c r="K84" s="3"/>
      <c r="N84" s="1"/>
      <c r="O84" s="1"/>
    </row>
    <row r="85" spans="1:15" x14ac:dyDescent="0.3">
      <c r="A85" s="1"/>
      <c r="B85" s="45"/>
      <c r="C85" s="38"/>
      <c r="D85" s="3"/>
      <c r="E85" s="3"/>
      <c r="H85" s="1"/>
      <c r="J85" s="1"/>
      <c r="K85" s="3"/>
      <c r="N85" s="1"/>
      <c r="O85" s="1"/>
    </row>
    <row r="86" spans="1:15" x14ac:dyDescent="0.3">
      <c r="A86" s="1"/>
      <c r="B86" s="45"/>
      <c r="C86" s="38"/>
      <c r="D86" s="3"/>
      <c r="E86" s="3"/>
      <c r="H86" s="1"/>
      <c r="J86" s="1"/>
      <c r="K86" s="3"/>
      <c r="N86" s="1"/>
      <c r="O86" s="1"/>
    </row>
    <row r="87" spans="1:15" x14ac:dyDescent="0.3">
      <c r="A87" s="1"/>
      <c r="B87" s="45"/>
      <c r="C87" s="38"/>
      <c r="D87" s="3"/>
      <c r="E87" s="3"/>
      <c r="H87" s="1"/>
      <c r="J87" s="1"/>
      <c r="K87" s="3"/>
      <c r="N87" s="1"/>
      <c r="O87" s="1"/>
    </row>
    <row r="88" spans="1:15" x14ac:dyDescent="0.3">
      <c r="A88" s="1"/>
      <c r="B88" s="45"/>
      <c r="C88" s="38"/>
      <c r="D88" s="3"/>
      <c r="E88" s="3"/>
      <c r="H88" s="1"/>
      <c r="J88" s="1"/>
      <c r="K88" s="3"/>
      <c r="N88" s="1"/>
      <c r="O88" s="1"/>
    </row>
    <row r="89" spans="1:15" x14ac:dyDescent="0.3">
      <c r="A89" s="1"/>
      <c r="B89" s="45"/>
      <c r="C89" s="38"/>
      <c r="D89" s="3"/>
      <c r="E89" s="3"/>
      <c r="H89" s="1"/>
      <c r="J89" s="1"/>
      <c r="K89" s="3"/>
      <c r="N89" s="1"/>
      <c r="O89" s="1"/>
    </row>
    <row r="90" spans="1:15" x14ac:dyDescent="0.3">
      <c r="A90" s="1"/>
      <c r="B90" s="45"/>
      <c r="C90" s="38"/>
      <c r="D90" s="3"/>
      <c r="E90" s="3"/>
      <c r="H90" s="1"/>
      <c r="J90" s="1"/>
      <c r="K90" s="3"/>
      <c r="N90" s="1"/>
      <c r="O90" s="1"/>
    </row>
    <row r="91" spans="1:15" x14ac:dyDescent="0.3">
      <c r="A91" s="1"/>
      <c r="B91" s="45"/>
      <c r="C91" s="38"/>
      <c r="D91" s="3"/>
      <c r="E91" s="3"/>
      <c r="H91" s="1"/>
      <c r="J91" s="1"/>
      <c r="K91" s="3"/>
      <c r="N91" s="1"/>
      <c r="O91" s="1"/>
    </row>
    <row r="92" spans="1:15" x14ac:dyDescent="0.3">
      <c r="A92" s="1"/>
      <c r="B92" s="45"/>
      <c r="C92" s="38"/>
      <c r="D92" s="3"/>
      <c r="E92" s="3"/>
      <c r="H92" s="1"/>
      <c r="J92" s="1"/>
      <c r="K92" s="3"/>
      <c r="N92" s="1"/>
      <c r="O92" s="1"/>
    </row>
    <row r="93" spans="1:15" x14ac:dyDescent="0.3">
      <c r="A93" s="1"/>
      <c r="B93" s="45"/>
      <c r="C93" s="3"/>
      <c r="D93" s="3"/>
      <c r="E93" s="3"/>
      <c r="H93" s="1"/>
      <c r="J93" s="1"/>
      <c r="K93" s="3"/>
      <c r="N93" s="1"/>
      <c r="O93" s="1"/>
    </row>
    <row r="94" spans="1:15" x14ac:dyDescent="0.3">
      <c r="A94" s="1"/>
      <c r="B94" s="45"/>
      <c r="C94" s="3"/>
      <c r="D94" s="3"/>
      <c r="E94" s="3"/>
      <c r="H94" s="1"/>
      <c r="J94" s="1"/>
      <c r="K94" s="3"/>
      <c r="N94" s="1"/>
      <c r="O94" s="1"/>
    </row>
    <row r="95" spans="1:15" x14ac:dyDescent="0.3">
      <c r="A95" s="1"/>
      <c r="B95" s="45"/>
      <c r="C95" s="3"/>
      <c r="D95" s="3"/>
      <c r="E95" s="3"/>
      <c r="H95" s="1"/>
      <c r="J95" s="1"/>
      <c r="K95" s="3"/>
      <c r="N95" s="1"/>
      <c r="O95" s="1"/>
    </row>
    <row r="96" spans="1:15" x14ac:dyDescent="0.3">
      <c r="A96" s="1"/>
      <c r="B96" s="45"/>
      <c r="C96" s="3"/>
      <c r="D96" s="3"/>
      <c r="E96" s="3"/>
      <c r="H96" s="1"/>
      <c r="J96" s="1"/>
      <c r="K96" s="3"/>
      <c r="N96" s="1"/>
      <c r="O96" s="1"/>
    </row>
    <row r="97" spans="1:15" x14ac:dyDescent="0.3">
      <c r="A97" s="1"/>
      <c r="B97" s="45"/>
      <c r="C97" s="3"/>
      <c r="D97" s="3"/>
      <c r="E97" s="3"/>
      <c r="H97" s="1"/>
      <c r="J97" s="1"/>
      <c r="K97" s="3"/>
      <c r="N97" s="1"/>
      <c r="O97" s="1"/>
    </row>
    <row r="98" spans="1:15" x14ac:dyDescent="0.3">
      <c r="A98" s="1"/>
      <c r="B98" s="45"/>
      <c r="C98" s="3"/>
      <c r="D98" s="3"/>
      <c r="E98" s="3"/>
      <c r="H98" s="1"/>
      <c r="J98" s="1"/>
      <c r="K98" s="3"/>
      <c r="N98" s="1"/>
      <c r="O98" s="1"/>
    </row>
    <row r="99" spans="1:15" x14ac:dyDescent="0.3">
      <c r="A99" s="1"/>
      <c r="B99" s="45"/>
      <c r="C99" s="3"/>
      <c r="D99" s="3"/>
      <c r="E99" s="3"/>
      <c r="H99" s="1"/>
      <c r="J99" s="1"/>
      <c r="K99" s="3"/>
      <c r="N99" s="1"/>
      <c r="O99" s="1"/>
    </row>
    <row r="100" spans="1:15" x14ac:dyDescent="0.3">
      <c r="A100" s="1"/>
      <c r="B100" s="45"/>
      <c r="C100" s="3"/>
      <c r="D100" s="3"/>
      <c r="E100" s="3"/>
      <c r="H100" s="1"/>
      <c r="J100" s="1"/>
      <c r="K100" s="3"/>
      <c r="N100" s="1"/>
      <c r="O100" s="1"/>
    </row>
    <row r="101" spans="1:15" x14ac:dyDescent="0.3">
      <c r="A101" s="1"/>
      <c r="B101" s="45"/>
      <c r="C101" s="3"/>
      <c r="D101" s="3"/>
      <c r="E101" s="3"/>
      <c r="H101" s="1"/>
      <c r="J101" s="1"/>
      <c r="K101" s="3"/>
      <c r="N101" s="1"/>
      <c r="O101" s="1"/>
    </row>
    <row r="102" spans="1:15" x14ac:dyDescent="0.3">
      <c r="A102" s="1"/>
      <c r="B102" s="45"/>
      <c r="C102" s="3"/>
      <c r="D102" s="3"/>
      <c r="E102" s="3"/>
      <c r="H102" s="1"/>
      <c r="J102" s="1"/>
      <c r="K102" s="3"/>
      <c r="N102" s="1"/>
      <c r="O102" s="1"/>
    </row>
    <row r="103" spans="1:15" x14ac:dyDescent="0.3">
      <c r="A103" s="1"/>
      <c r="B103" s="45"/>
      <c r="C103" s="3"/>
      <c r="D103" s="3"/>
      <c r="E103" s="3"/>
      <c r="H103" s="1"/>
      <c r="J103" s="1"/>
      <c r="K103" s="3"/>
      <c r="N103" s="1"/>
      <c r="O103" s="1"/>
    </row>
    <row r="104" spans="1:15" x14ac:dyDescent="0.3">
      <c r="A104" s="1"/>
      <c r="B104" s="45"/>
      <c r="C104" s="3"/>
      <c r="D104" s="3"/>
      <c r="E104" s="3"/>
      <c r="H104" s="1"/>
      <c r="J104" s="1"/>
      <c r="K104" s="3"/>
      <c r="N104" s="1"/>
      <c r="O104" s="1"/>
    </row>
    <row r="105" spans="1:15" x14ac:dyDescent="0.3">
      <c r="A105" s="1"/>
      <c r="B105" s="45"/>
      <c r="C105" s="3"/>
      <c r="D105" s="3"/>
      <c r="E105" s="3"/>
      <c r="H105" s="1"/>
      <c r="J105" s="1"/>
      <c r="K105" s="3"/>
      <c r="N105" s="1"/>
      <c r="O105" s="1"/>
    </row>
    <row r="106" spans="1:15" x14ac:dyDescent="0.3">
      <c r="A106" s="1"/>
      <c r="B106" s="45"/>
      <c r="C106" s="3"/>
      <c r="D106" s="3"/>
      <c r="E106" s="3"/>
      <c r="H106" s="1"/>
      <c r="J106" s="1"/>
      <c r="K106" s="3"/>
      <c r="N106" s="1"/>
      <c r="O106" s="1"/>
    </row>
    <row r="107" spans="1:15" x14ac:dyDescent="0.3">
      <c r="A107" s="1"/>
      <c r="B107" s="45"/>
      <c r="C107" s="3"/>
      <c r="D107" s="3"/>
      <c r="E107" s="3"/>
      <c r="H107" s="1"/>
      <c r="J107" s="1"/>
      <c r="K107" s="3"/>
      <c r="N107" s="1"/>
      <c r="O107" s="1"/>
    </row>
    <row r="108" spans="1:15" x14ac:dyDescent="0.3">
      <c r="A108" s="1"/>
      <c r="B108" s="45"/>
      <c r="C108" s="3"/>
      <c r="D108" s="3"/>
      <c r="E108" s="3"/>
      <c r="H108" s="1"/>
      <c r="J108" s="1"/>
      <c r="K108" s="3"/>
      <c r="N108" s="1"/>
      <c r="O108" s="1"/>
    </row>
    <row r="109" spans="1:15" x14ac:dyDescent="0.3">
      <c r="A109" s="1"/>
      <c r="B109" s="45"/>
      <c r="C109" s="3"/>
      <c r="D109" s="3"/>
      <c r="E109" s="3"/>
      <c r="H109" s="1"/>
      <c r="J109" s="1"/>
      <c r="K109" s="3"/>
      <c r="N109" s="1"/>
      <c r="O109" s="1"/>
    </row>
    <row r="110" spans="1:15" x14ac:dyDescent="0.3">
      <c r="A110" s="1"/>
      <c r="B110" s="45"/>
      <c r="C110" s="3"/>
      <c r="D110" s="3"/>
      <c r="E110" s="3"/>
      <c r="H110" s="1"/>
      <c r="J110" s="1"/>
      <c r="K110" s="3"/>
      <c r="N110" s="1"/>
      <c r="O110" s="1"/>
    </row>
    <row r="111" spans="1:15" x14ac:dyDescent="0.3">
      <c r="A111" s="1"/>
      <c r="B111" s="45"/>
      <c r="C111" s="3"/>
      <c r="D111" s="3"/>
      <c r="E111" s="3"/>
      <c r="H111" s="1"/>
      <c r="J111" s="1"/>
      <c r="K111" s="3"/>
      <c r="N111" s="1"/>
      <c r="O111" s="1"/>
    </row>
    <row r="112" spans="1:15" x14ac:dyDescent="0.3">
      <c r="A112" s="1"/>
      <c r="B112" s="45"/>
      <c r="C112" s="3"/>
      <c r="D112" s="3"/>
      <c r="E112" s="3"/>
      <c r="H112" s="1"/>
      <c r="J112" s="1"/>
      <c r="K112" s="3"/>
      <c r="N112" s="1"/>
      <c r="O112" s="1"/>
    </row>
    <row r="113" spans="1:15" x14ac:dyDescent="0.3">
      <c r="A113" s="1"/>
      <c r="B113" s="45"/>
      <c r="C113" s="3"/>
      <c r="D113" s="3"/>
      <c r="E113" s="3"/>
      <c r="H113" s="1"/>
      <c r="J113" s="1"/>
      <c r="K113" s="3"/>
      <c r="N113" s="1"/>
      <c r="O113" s="1"/>
    </row>
    <row r="114" spans="1:15" x14ac:dyDescent="0.3">
      <c r="A114" s="1"/>
      <c r="B114" s="45"/>
      <c r="C114" s="3"/>
      <c r="D114" s="3"/>
      <c r="E114" s="3"/>
      <c r="H114" s="1"/>
      <c r="J114" s="1"/>
      <c r="K114" s="3"/>
      <c r="N114" s="1"/>
      <c r="O114" s="1"/>
    </row>
    <row r="115" spans="1:15" x14ac:dyDescent="0.3">
      <c r="A115" s="1"/>
      <c r="B115" s="45"/>
      <c r="C115" s="3"/>
      <c r="D115" s="3"/>
      <c r="E115" s="3"/>
      <c r="H115" s="1"/>
      <c r="J115" s="1"/>
      <c r="K115" s="3"/>
      <c r="N115" s="1"/>
      <c r="O115" s="1"/>
    </row>
    <row r="116" spans="1:15" x14ac:dyDescent="0.3">
      <c r="A116" s="1"/>
      <c r="B116" s="45"/>
      <c r="C116" s="3"/>
      <c r="D116" s="3"/>
      <c r="E116" s="3"/>
      <c r="H116" s="1"/>
      <c r="J116" s="1"/>
      <c r="K116" s="3"/>
      <c r="N116" s="1"/>
      <c r="O116" s="1"/>
    </row>
    <row r="117" spans="1:15" x14ac:dyDescent="0.3">
      <c r="A117" s="1"/>
      <c r="B117" s="45"/>
      <c r="C117" s="3"/>
      <c r="D117" s="3"/>
      <c r="E117" s="3"/>
      <c r="H117" s="1"/>
      <c r="J117" s="1"/>
      <c r="K117" s="3"/>
      <c r="N117" s="1"/>
      <c r="O117" s="1"/>
    </row>
    <row r="118" spans="1:15" x14ac:dyDescent="0.3">
      <c r="A118" s="1"/>
      <c r="B118" s="45"/>
      <c r="C118" s="3"/>
      <c r="D118" s="3"/>
      <c r="E118" s="3"/>
      <c r="H118" s="1"/>
      <c r="J118" s="1"/>
      <c r="K118" s="3"/>
      <c r="N118" s="1"/>
      <c r="O118" s="1"/>
    </row>
    <row r="119" spans="1:15" x14ac:dyDescent="0.3">
      <c r="A119" s="1"/>
      <c r="B119" s="45"/>
      <c r="C119" s="3"/>
      <c r="D119" s="3"/>
      <c r="E119" s="3"/>
      <c r="H119" s="1"/>
      <c r="J119" s="1"/>
      <c r="K119" s="3"/>
      <c r="N119" s="1"/>
      <c r="O119" s="1"/>
    </row>
    <row r="120" spans="1:15" x14ac:dyDescent="0.3">
      <c r="A120" s="1"/>
      <c r="B120" s="45"/>
      <c r="C120" s="3"/>
      <c r="D120" s="3"/>
      <c r="E120" s="3"/>
      <c r="H120" s="1"/>
      <c r="J120" s="1"/>
      <c r="K120" s="3"/>
      <c r="N120" s="1"/>
      <c r="O120" s="1"/>
    </row>
    <row r="121" spans="1:15" x14ac:dyDescent="0.3">
      <c r="A121" s="1"/>
      <c r="B121" s="45"/>
      <c r="C121" s="3"/>
      <c r="D121" s="3"/>
      <c r="E121" s="3"/>
      <c r="H121" s="1"/>
      <c r="J121" s="1"/>
      <c r="K121" s="3"/>
      <c r="N121" s="1"/>
      <c r="O121" s="1"/>
    </row>
    <row r="122" spans="1:15" x14ac:dyDescent="0.3">
      <c r="A122" s="1"/>
      <c r="B122" s="45"/>
      <c r="C122" s="3"/>
      <c r="D122" s="3"/>
      <c r="E122" s="3"/>
      <c r="H122" s="1"/>
      <c r="J122" s="1"/>
      <c r="K122" s="3"/>
      <c r="N122" s="1"/>
      <c r="O122" s="1"/>
    </row>
    <row r="123" spans="1:15" x14ac:dyDescent="0.3">
      <c r="A123" s="1"/>
      <c r="B123" s="45"/>
      <c r="C123" s="3"/>
      <c r="D123" s="3"/>
      <c r="E123" s="3"/>
      <c r="H123" s="1"/>
      <c r="J123" s="1"/>
      <c r="K123" s="3"/>
      <c r="N123" s="1"/>
      <c r="O123" s="1"/>
    </row>
    <row r="124" spans="1:15" x14ac:dyDescent="0.3">
      <c r="A124" s="1"/>
      <c r="B124" s="45"/>
      <c r="C124" s="3"/>
      <c r="D124" s="3"/>
      <c r="E124" s="3"/>
      <c r="H124" s="1"/>
      <c r="J124" s="1"/>
      <c r="K124" s="3"/>
      <c r="N124" s="1"/>
      <c r="O124" s="1"/>
    </row>
    <row r="125" spans="1:15" x14ac:dyDescent="0.3">
      <c r="A125" s="1"/>
      <c r="B125" s="45"/>
      <c r="C125" s="3"/>
      <c r="D125" s="3"/>
      <c r="E125" s="3"/>
      <c r="H125" s="1"/>
      <c r="J125" s="1"/>
      <c r="K125" s="3"/>
      <c r="N125" s="1"/>
      <c r="O125" s="1"/>
    </row>
    <row r="126" spans="1:15" x14ac:dyDescent="0.3">
      <c r="A126" s="1"/>
      <c r="B126" s="45"/>
      <c r="C126" s="3"/>
      <c r="D126" s="3"/>
      <c r="E126" s="3"/>
      <c r="H126" s="1"/>
      <c r="J126" s="1"/>
      <c r="K126" s="3"/>
      <c r="N126" s="1"/>
      <c r="O126" s="1"/>
    </row>
    <row r="127" spans="1:15" x14ac:dyDescent="0.3">
      <c r="A127" s="1"/>
      <c r="B127" s="45"/>
      <c r="C127" s="3"/>
      <c r="D127" s="3"/>
      <c r="E127" s="3"/>
      <c r="H127" s="1"/>
      <c r="J127" s="1"/>
      <c r="K127" s="3"/>
      <c r="N127" s="1"/>
      <c r="O127" s="1"/>
    </row>
    <row r="128" spans="1:15" x14ac:dyDescent="0.3">
      <c r="A128" s="1"/>
      <c r="B128" s="45"/>
      <c r="C128" s="3"/>
      <c r="D128" s="3"/>
      <c r="E128" s="3"/>
      <c r="H128" s="1"/>
      <c r="J128" s="1"/>
      <c r="K128" s="3"/>
      <c r="N128" s="1"/>
      <c r="O128" s="1"/>
    </row>
    <row r="129" spans="1:15" x14ac:dyDescent="0.3">
      <c r="A129" s="1"/>
      <c r="B129" s="45"/>
      <c r="C129" s="3"/>
      <c r="D129" s="3"/>
      <c r="E129" s="3"/>
      <c r="H129" s="1"/>
      <c r="J129" s="1"/>
      <c r="K129" s="3"/>
      <c r="N129" s="1"/>
      <c r="O129" s="1"/>
    </row>
    <row r="130" spans="1:15" x14ac:dyDescent="0.3">
      <c r="A130" s="1"/>
      <c r="B130" s="45"/>
      <c r="C130" s="3"/>
      <c r="D130" s="3"/>
      <c r="E130" s="3"/>
      <c r="H130" s="1"/>
      <c r="J130" s="1"/>
      <c r="K130" s="3"/>
      <c r="N130" s="1"/>
      <c r="O130" s="1"/>
    </row>
    <row r="131" spans="1:15" x14ac:dyDescent="0.3">
      <c r="A131" s="1"/>
      <c r="B131" s="45"/>
      <c r="C131" s="3"/>
      <c r="D131" s="3"/>
      <c r="E131" s="3"/>
      <c r="H131" s="1"/>
      <c r="J131" s="1"/>
      <c r="K131" s="3"/>
      <c r="N131" s="1"/>
      <c r="O131" s="1"/>
    </row>
    <row r="132" spans="1:15" x14ac:dyDescent="0.3">
      <c r="A132" s="1"/>
      <c r="B132" s="45"/>
      <c r="C132" s="3"/>
      <c r="D132" s="3"/>
      <c r="E132" s="3"/>
      <c r="H132" s="1"/>
      <c r="J132" s="1"/>
      <c r="K132" s="3"/>
      <c r="N132" s="1"/>
      <c r="O132" s="1"/>
    </row>
    <row r="133" spans="1:15" x14ac:dyDescent="0.3">
      <c r="A133" s="1"/>
      <c r="B133" s="45"/>
      <c r="C133" s="3"/>
      <c r="D133" s="3"/>
      <c r="E133" s="3"/>
      <c r="H133" s="1"/>
      <c r="J133" s="1"/>
      <c r="K133" s="3"/>
      <c r="N133" s="1"/>
      <c r="O133" s="1"/>
    </row>
    <row r="134" spans="1:15" x14ac:dyDescent="0.3">
      <c r="A134" s="1"/>
      <c r="B134" s="45"/>
      <c r="C134" s="3"/>
      <c r="D134" s="3"/>
      <c r="E134" s="3"/>
      <c r="H134" s="1"/>
      <c r="J134" s="1"/>
      <c r="K134" s="3"/>
      <c r="N134" s="1"/>
      <c r="O134" s="1"/>
    </row>
    <row r="135" spans="1:15" x14ac:dyDescent="0.3">
      <c r="A135" s="1"/>
      <c r="B135" s="45"/>
      <c r="C135" s="3"/>
      <c r="D135" s="3"/>
      <c r="E135" s="3"/>
      <c r="H135" s="1"/>
      <c r="J135" s="1"/>
      <c r="K135" s="3"/>
      <c r="N135" s="1"/>
      <c r="O135" s="1"/>
    </row>
    <row r="136" spans="1:15" x14ac:dyDescent="0.3">
      <c r="A136" s="1"/>
      <c r="B136" s="45"/>
      <c r="C136" s="3"/>
      <c r="D136" s="3"/>
      <c r="E136" s="3"/>
      <c r="H136" s="1"/>
      <c r="J136" s="1"/>
      <c r="K136" s="3"/>
      <c r="N136" s="1"/>
      <c r="O136" s="1"/>
    </row>
    <row r="137" spans="1:15" x14ac:dyDescent="0.3">
      <c r="A137" s="1"/>
      <c r="B137" s="45"/>
      <c r="C137" s="3"/>
      <c r="D137" s="3"/>
      <c r="E137" s="3"/>
      <c r="H137" s="1"/>
      <c r="J137" s="1"/>
      <c r="K137" s="3"/>
      <c r="N137" s="1"/>
      <c r="O137" s="1"/>
    </row>
    <row r="138" spans="1:15" x14ac:dyDescent="0.3">
      <c r="A138" s="1"/>
      <c r="B138" s="45"/>
      <c r="C138" s="3"/>
      <c r="D138" s="3"/>
      <c r="E138" s="3"/>
      <c r="H138" s="1"/>
      <c r="J138" s="1"/>
      <c r="K138" s="3"/>
      <c r="N138" s="1"/>
      <c r="O138" s="1"/>
    </row>
    <row r="139" spans="1:15" x14ac:dyDescent="0.3">
      <c r="A139" s="1"/>
      <c r="B139" s="45"/>
      <c r="C139" s="3"/>
      <c r="D139" s="3"/>
      <c r="E139" s="3"/>
      <c r="H139" s="1"/>
      <c r="J139" s="1"/>
      <c r="K139" s="3"/>
      <c r="N139" s="1"/>
      <c r="O139" s="1"/>
    </row>
    <row r="140" spans="1:15" x14ac:dyDescent="0.3">
      <c r="A140" s="1"/>
      <c r="B140" s="45"/>
      <c r="C140" s="3"/>
      <c r="D140" s="3"/>
      <c r="E140" s="3"/>
      <c r="H140" s="1"/>
      <c r="J140" s="1"/>
      <c r="K140" s="3"/>
      <c r="N140" s="1"/>
      <c r="O140" s="1"/>
    </row>
    <row r="141" spans="1:15" x14ac:dyDescent="0.3">
      <c r="A141" s="1"/>
      <c r="B141" s="45"/>
      <c r="C141" s="3"/>
      <c r="D141" s="3"/>
      <c r="E141" s="3"/>
      <c r="H141" s="1"/>
      <c r="J141" s="1"/>
      <c r="K141" s="3"/>
      <c r="N141" s="1"/>
      <c r="O141" s="1"/>
    </row>
    <row r="142" spans="1:15" x14ac:dyDescent="0.3">
      <c r="A142" s="1"/>
      <c r="B142" s="45"/>
      <c r="C142" s="3"/>
      <c r="D142" s="3"/>
      <c r="E142" s="3"/>
      <c r="H142" s="1"/>
      <c r="J142" s="1"/>
      <c r="K142" s="3"/>
      <c r="N142" s="1"/>
      <c r="O142" s="1"/>
    </row>
    <row r="143" spans="1:15" x14ac:dyDescent="0.3">
      <c r="A143" s="1"/>
      <c r="B143" s="45"/>
      <c r="C143" s="3"/>
      <c r="D143" s="3"/>
      <c r="E143" s="3"/>
      <c r="H143" s="1"/>
      <c r="J143" s="1"/>
      <c r="K143" s="3"/>
      <c r="N143" s="1"/>
      <c r="O143" s="1"/>
    </row>
    <row r="144" spans="1:15" x14ac:dyDescent="0.3">
      <c r="A144" s="1"/>
      <c r="B144" s="45"/>
      <c r="C144" s="3"/>
      <c r="D144" s="3"/>
      <c r="E144" s="3"/>
      <c r="H144" s="1"/>
      <c r="J144" s="1"/>
      <c r="K144" s="3"/>
      <c r="N144" s="1"/>
      <c r="O144" s="1"/>
    </row>
    <row r="145" spans="1:15" x14ac:dyDescent="0.3">
      <c r="A145" s="1"/>
      <c r="B145" s="45"/>
      <c r="C145" s="3"/>
      <c r="D145" s="3"/>
      <c r="E145" s="3"/>
      <c r="H145" s="1"/>
      <c r="J145" s="1"/>
      <c r="K145" s="3"/>
      <c r="N145" s="1"/>
      <c r="O145" s="1"/>
    </row>
    <row r="146" spans="1:15" x14ac:dyDescent="0.3">
      <c r="A146" s="1"/>
      <c r="B146" s="45"/>
      <c r="C146" s="3"/>
      <c r="D146" s="3"/>
      <c r="E146" s="3"/>
      <c r="H146" s="1"/>
      <c r="J146" s="1"/>
      <c r="K146" s="3"/>
      <c r="N146" s="1"/>
      <c r="O146" s="1"/>
    </row>
    <row r="147" spans="1:15" x14ac:dyDescent="0.3">
      <c r="A147" s="1"/>
      <c r="B147" s="45"/>
      <c r="C147" s="3"/>
      <c r="D147" s="3"/>
      <c r="E147" s="3"/>
      <c r="H147" s="1"/>
      <c r="J147" s="1"/>
      <c r="K147" s="3"/>
      <c r="N147" s="1"/>
      <c r="O147" s="1"/>
    </row>
    <row r="148" spans="1:15" x14ac:dyDescent="0.3">
      <c r="A148" s="1"/>
      <c r="B148" s="45"/>
      <c r="C148" s="3"/>
      <c r="D148" s="3"/>
      <c r="E148" s="3"/>
      <c r="H148" s="1"/>
      <c r="J148" s="1"/>
      <c r="K148" s="3"/>
      <c r="N148" s="1"/>
      <c r="O148" s="1"/>
    </row>
    <row r="149" spans="1:15" x14ac:dyDescent="0.3">
      <c r="A149" s="1"/>
      <c r="B149" s="45"/>
      <c r="C149" s="3"/>
      <c r="D149" s="3"/>
      <c r="E149" s="3"/>
      <c r="H149" s="1"/>
      <c r="J149" s="1"/>
      <c r="K149" s="3"/>
      <c r="N149" s="1"/>
      <c r="O149" s="1"/>
    </row>
    <row r="150" spans="1:15" x14ac:dyDescent="0.3">
      <c r="A150" s="1"/>
      <c r="B150" s="45"/>
      <c r="C150" s="3"/>
      <c r="D150" s="3"/>
      <c r="E150" s="3"/>
      <c r="H150" s="1"/>
      <c r="J150" s="1"/>
      <c r="K150" s="3"/>
      <c r="N150" s="1"/>
      <c r="O150" s="1"/>
    </row>
    <row r="151" spans="1:15" x14ac:dyDescent="0.3">
      <c r="A151" s="1"/>
      <c r="B151" s="45"/>
    </row>
    <row r="152" spans="1:15" x14ac:dyDescent="0.3">
      <c r="A152" s="1"/>
      <c r="B152" s="45"/>
    </row>
    <row r="153" spans="1:15" x14ac:dyDescent="0.3">
      <c r="A153" s="1"/>
      <c r="B153" s="45"/>
    </row>
    <row r="154" spans="1:15" x14ac:dyDescent="0.3">
      <c r="A154" s="1"/>
      <c r="B154" s="45"/>
    </row>
    <row r="155" spans="1:15" x14ac:dyDescent="0.3">
      <c r="A155" s="1"/>
      <c r="B155" s="45"/>
    </row>
    <row r="156" spans="1:15" x14ac:dyDescent="0.3">
      <c r="A156" s="1"/>
      <c r="B156" s="45"/>
    </row>
    <row r="157" spans="1:15" x14ac:dyDescent="0.3">
      <c r="A157" s="1"/>
      <c r="B157" s="45"/>
    </row>
    <row r="158" spans="1:15" x14ac:dyDescent="0.3">
      <c r="A158" s="1"/>
      <c r="B158" s="45"/>
    </row>
    <row r="159" spans="1:15" x14ac:dyDescent="0.3">
      <c r="A159" s="1"/>
      <c r="B159" s="45"/>
    </row>
    <row r="160" spans="1:15" x14ac:dyDescent="0.3">
      <c r="A160" s="1"/>
      <c r="B160" s="45"/>
    </row>
    <row r="161" spans="1:2" x14ac:dyDescent="0.3">
      <c r="A161" s="1"/>
      <c r="B161" s="45"/>
    </row>
    <row r="162" spans="1:2" x14ac:dyDescent="0.3">
      <c r="A162" s="1"/>
      <c r="B162" s="45"/>
    </row>
    <row r="163" spans="1:2" x14ac:dyDescent="0.3">
      <c r="A163" s="1"/>
      <c r="B163" s="45"/>
    </row>
    <row r="164" spans="1:2" x14ac:dyDescent="0.3">
      <c r="A164" s="1"/>
      <c r="B164" s="45"/>
    </row>
    <row r="165" spans="1:2" x14ac:dyDescent="0.3">
      <c r="A165" s="1"/>
      <c r="B165" s="45"/>
    </row>
    <row r="166" spans="1:2" x14ac:dyDescent="0.3">
      <c r="A166" s="1"/>
      <c r="B166" s="45"/>
    </row>
    <row r="167" spans="1:2" x14ac:dyDescent="0.3">
      <c r="A167" s="1"/>
      <c r="B167" s="45"/>
    </row>
    <row r="168" spans="1:2" x14ac:dyDescent="0.3">
      <c r="A168" s="1"/>
      <c r="B168" s="45"/>
    </row>
    <row r="169" spans="1:2" x14ac:dyDescent="0.3">
      <c r="A169" s="1"/>
      <c r="B169" s="45"/>
    </row>
    <row r="170" spans="1:2" x14ac:dyDescent="0.3">
      <c r="A170" s="1"/>
      <c r="B170" s="45"/>
    </row>
    <row r="171" spans="1:2" x14ac:dyDescent="0.3">
      <c r="A171" s="1"/>
      <c r="B171" s="45"/>
    </row>
    <row r="172" spans="1:2" x14ac:dyDescent="0.3">
      <c r="A172" s="1"/>
      <c r="B172" s="45"/>
    </row>
    <row r="173" spans="1:2" x14ac:dyDescent="0.3">
      <c r="A173" s="1"/>
      <c r="B173" s="45"/>
    </row>
    <row r="174" spans="1:2" x14ac:dyDescent="0.3">
      <c r="A174" s="1"/>
      <c r="B174" s="45"/>
    </row>
    <row r="175" spans="1:2" x14ac:dyDescent="0.3">
      <c r="A175" s="1"/>
      <c r="B175" s="45"/>
    </row>
    <row r="176" spans="1:2" x14ac:dyDescent="0.3">
      <c r="A176" s="1"/>
      <c r="B176" s="45"/>
    </row>
    <row r="177" spans="1:2" x14ac:dyDescent="0.3">
      <c r="A177" s="1"/>
      <c r="B177" s="45"/>
    </row>
    <row r="178" spans="1:2" x14ac:dyDescent="0.3">
      <c r="A178" s="1"/>
      <c r="B178" s="45"/>
    </row>
    <row r="179" spans="1:2" x14ac:dyDescent="0.3">
      <c r="A179" s="1"/>
      <c r="B179" s="45"/>
    </row>
    <row r="180" spans="1:2" x14ac:dyDescent="0.3">
      <c r="A180" s="1"/>
      <c r="B180" s="45"/>
    </row>
    <row r="181" spans="1:2" x14ac:dyDescent="0.3">
      <c r="A181" s="1"/>
      <c r="B181" s="45"/>
    </row>
    <row r="182" spans="1:2" x14ac:dyDescent="0.3">
      <c r="A182" s="1"/>
      <c r="B182" s="45"/>
    </row>
    <row r="183" spans="1:2" x14ac:dyDescent="0.3">
      <c r="A183" s="1"/>
      <c r="B183" s="45"/>
    </row>
  </sheetData>
  <mergeCells count="2">
    <mergeCell ref="A28:B28"/>
    <mergeCell ref="A33:B33"/>
  </mergeCells>
  <phoneticPr fontId="11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D8F7A-4BD0-45C3-B04E-C5B4F4F239C3}">
  <dimension ref="A1:O183"/>
  <sheetViews>
    <sheetView zoomScaleNormal="100" workbookViewId="0">
      <pane xSplit="2" ySplit="7" topLeftCell="C28" activePane="bottomRight" state="frozen"/>
      <selection pane="topRight" activeCell="C1" sqref="C1"/>
      <selection pane="bottomLeft" activeCell="A7" sqref="A7"/>
      <selection pane="bottomRight" activeCell="B41" sqref="B41"/>
    </sheetView>
  </sheetViews>
  <sheetFormatPr defaultColWidth="12.5703125" defaultRowHeight="16.5" x14ac:dyDescent="0.3"/>
  <cols>
    <col min="1" max="1" width="20.5703125" style="15" customWidth="1"/>
    <col min="2" max="2" width="14.7109375" style="53" bestFit="1" customWidth="1"/>
    <col min="3" max="3" width="14.140625" style="1" bestFit="1" customWidth="1"/>
    <col min="4" max="4" width="11.85546875" style="1" bestFit="1" customWidth="1"/>
    <col min="5" max="5" width="8.140625" style="1" bestFit="1" customWidth="1"/>
    <col min="6" max="6" width="10.7109375" style="3" bestFit="1" customWidth="1"/>
    <col min="7" max="7" width="7.140625" style="3" bestFit="1" customWidth="1"/>
    <col min="8" max="8" width="7.140625" style="3" customWidth="1"/>
    <col min="9" max="9" width="9" style="3" bestFit="1" customWidth="1"/>
    <col min="10" max="10" width="13.85546875" style="3" bestFit="1" customWidth="1"/>
    <col min="11" max="11" width="8.7109375" style="1" bestFit="1" customWidth="1"/>
    <col min="12" max="12" width="14" style="3" bestFit="1" customWidth="1"/>
    <col min="13" max="13" width="13.7109375" style="1" bestFit="1" customWidth="1"/>
    <col min="14" max="14" width="14.28515625" style="3" bestFit="1" customWidth="1"/>
    <col min="15" max="15" width="14.85546875" style="3" bestFit="1" customWidth="1"/>
    <col min="16" max="16384" width="12.5703125" style="1"/>
  </cols>
  <sheetData>
    <row r="1" spans="1:15" x14ac:dyDescent="0.3">
      <c r="A1" s="5" t="s">
        <v>10</v>
      </c>
      <c r="B1" s="45"/>
    </row>
    <row r="2" spans="1:15" x14ac:dyDescent="0.3">
      <c r="A2" s="11" t="s">
        <v>54</v>
      </c>
      <c r="B2" s="13">
        <v>9</v>
      </c>
      <c r="C2" s="39" t="s">
        <v>64</v>
      </c>
      <c r="F2" s="1"/>
      <c r="G2" s="1"/>
      <c r="H2" s="1"/>
      <c r="I2" s="1"/>
      <c r="K2" s="3"/>
      <c r="M2" s="3"/>
      <c r="N2" s="1"/>
      <c r="O2" s="1"/>
    </row>
    <row r="3" spans="1:15" x14ac:dyDescent="0.3">
      <c r="A3" s="12" t="s">
        <v>4</v>
      </c>
      <c r="B3" s="47">
        <v>0</v>
      </c>
      <c r="C3" s="13">
        <v>0</v>
      </c>
      <c r="E3" s="17"/>
      <c r="F3" s="18"/>
      <c r="G3" s="1"/>
      <c r="H3" s="1"/>
      <c r="K3" s="3"/>
      <c r="M3" s="3"/>
      <c r="N3" s="1"/>
      <c r="O3" s="1"/>
    </row>
    <row r="4" spans="1:15" x14ac:dyDescent="0.3">
      <c r="A4" s="40" t="s">
        <v>15</v>
      </c>
      <c r="B4" s="46">
        <f>ROUND((B2*B3),0)</f>
        <v>0</v>
      </c>
      <c r="C4" s="13">
        <f>C3*B2</f>
        <v>0</v>
      </c>
      <c r="E4" s="17"/>
      <c r="F4" s="19"/>
      <c r="G4" s="1"/>
      <c r="H4" s="1"/>
      <c r="K4" s="3"/>
      <c r="M4" s="3"/>
      <c r="N4" s="1"/>
      <c r="O4" s="1"/>
    </row>
    <row r="5" spans="1:15" x14ac:dyDescent="0.3">
      <c r="A5" s="41"/>
      <c r="B5" s="48"/>
      <c r="C5" s="42"/>
      <c r="E5" s="17"/>
      <c r="F5" s="19"/>
      <c r="G5" s="1"/>
      <c r="H5" s="1"/>
      <c r="K5" s="3"/>
      <c r="M5" s="3"/>
      <c r="N5" s="1"/>
      <c r="O5" s="1"/>
    </row>
    <row r="6" spans="1:15" x14ac:dyDescent="0.3">
      <c r="A6" s="5" t="s">
        <v>11</v>
      </c>
      <c r="B6" s="45"/>
      <c r="D6" s="16"/>
    </row>
    <row r="7" spans="1:15" s="65" customFormat="1" ht="38.25" x14ac:dyDescent="0.25">
      <c r="A7" s="63" t="s">
        <v>31</v>
      </c>
      <c r="B7" s="64" t="s">
        <v>26</v>
      </c>
      <c r="C7" s="63" t="s">
        <v>30</v>
      </c>
      <c r="D7" s="63" t="s">
        <v>0</v>
      </c>
      <c r="E7" s="63" t="s">
        <v>1</v>
      </c>
      <c r="F7" s="63" t="s">
        <v>16</v>
      </c>
      <c r="G7" s="63" t="s">
        <v>62</v>
      </c>
      <c r="H7" s="63" t="s">
        <v>58</v>
      </c>
      <c r="I7" s="63" t="s">
        <v>61</v>
      </c>
      <c r="J7" s="63" t="s">
        <v>2</v>
      </c>
      <c r="K7" s="63" t="s">
        <v>3</v>
      </c>
      <c r="L7" s="63" t="s">
        <v>13</v>
      </c>
      <c r="M7" s="63" t="s">
        <v>17</v>
      </c>
      <c r="N7" s="63" t="s">
        <v>14</v>
      </c>
      <c r="O7" s="63" t="s">
        <v>18</v>
      </c>
    </row>
    <row r="8" spans="1:15" s="21" customFormat="1" x14ac:dyDescent="0.2">
      <c r="A8" s="20"/>
      <c r="B8" s="49" t="s">
        <v>63</v>
      </c>
      <c r="C8" s="43" t="s">
        <v>59</v>
      </c>
      <c r="D8" s="43" t="s">
        <v>59</v>
      </c>
      <c r="E8" s="43" t="s">
        <v>59</v>
      </c>
      <c r="F8" s="2" t="s">
        <v>19</v>
      </c>
      <c r="G8" s="43" t="s">
        <v>59</v>
      </c>
      <c r="H8" s="43" t="s">
        <v>59</v>
      </c>
      <c r="I8" s="43" t="s">
        <v>59</v>
      </c>
      <c r="J8" s="2"/>
      <c r="K8" s="2"/>
      <c r="L8" s="2" t="s">
        <v>19</v>
      </c>
      <c r="M8" s="2" t="s">
        <v>19</v>
      </c>
      <c r="N8" s="2" t="s">
        <v>19</v>
      </c>
      <c r="O8" s="2" t="s">
        <v>19</v>
      </c>
    </row>
    <row r="9" spans="1:15" s="21" customFormat="1" x14ac:dyDescent="0.3">
      <c r="A9" s="62" t="str">
        <f>Sheet1!B2</f>
        <v>Security Cabin</v>
      </c>
      <c r="B9" s="60">
        <f>Sheet1!D2</f>
        <v>9</v>
      </c>
      <c r="C9" s="66">
        <v>2012</v>
      </c>
      <c r="D9" s="22">
        <v>2025</v>
      </c>
      <c r="E9" s="54">
        <v>23</v>
      </c>
      <c r="F9" s="54">
        <v>10000</v>
      </c>
      <c r="G9" s="54">
        <f t="shared" ref="G9" si="0">D9-C9</f>
        <v>13</v>
      </c>
      <c r="H9" s="54">
        <v>10</v>
      </c>
      <c r="I9" s="54">
        <f>E9-G9</f>
        <v>10</v>
      </c>
      <c r="J9" s="54">
        <f>IF(G9&gt;=5,90*G9/E9,0)</f>
        <v>50.869565217391305</v>
      </c>
      <c r="K9" s="54">
        <f>F9/100*J9</f>
        <v>5086.95652173913</v>
      </c>
      <c r="L9" s="54">
        <f>ROUND((F9-K9),0)</f>
        <v>4913</v>
      </c>
      <c r="M9" s="54">
        <f t="shared" ref="M9" si="1">O9-N9</f>
        <v>45783</v>
      </c>
      <c r="N9" s="54">
        <f>ROUND(L9*B9,0)</f>
        <v>44217</v>
      </c>
      <c r="O9" s="54">
        <f>ROUND(F9*B9,0)</f>
        <v>90000</v>
      </c>
    </row>
    <row r="10" spans="1:15" s="21" customFormat="1" x14ac:dyDescent="0.3">
      <c r="A10" s="62" t="str">
        <f>Sheet1!B3</f>
        <v>Admin Bldg.</v>
      </c>
      <c r="B10" s="60"/>
      <c r="C10" s="66"/>
      <c r="D10" s="22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</row>
    <row r="11" spans="1:15" s="21" customFormat="1" x14ac:dyDescent="0.3">
      <c r="A11" s="62" t="str">
        <f>Sheet1!B4</f>
        <v>Ground Floor</v>
      </c>
      <c r="B11" s="60">
        <f>Sheet1!D4</f>
        <v>100.41</v>
      </c>
      <c r="C11" s="66">
        <v>2012</v>
      </c>
      <c r="D11" s="22">
        <v>2025</v>
      </c>
      <c r="E11" s="54">
        <v>23</v>
      </c>
      <c r="F11" s="54">
        <v>18000</v>
      </c>
      <c r="G11" s="54">
        <f t="shared" ref="G11:G25" si="2">D11-C11</f>
        <v>13</v>
      </c>
      <c r="H11" s="54">
        <v>10</v>
      </c>
      <c r="I11" s="54">
        <f t="shared" ref="I11:I22" si="3">E11-G11</f>
        <v>10</v>
      </c>
      <c r="J11" s="54">
        <f t="shared" ref="J11:J22" si="4">IF(G11&gt;=5,90*G11/E11,0)</f>
        <v>50.869565217391305</v>
      </c>
      <c r="K11" s="54">
        <f t="shared" ref="K11:K22" si="5">F11/100*J11</f>
        <v>9156.5217391304341</v>
      </c>
      <c r="L11" s="54">
        <f t="shared" ref="L11:L22" si="6">ROUND((F11-K11),0)</f>
        <v>8843</v>
      </c>
      <c r="M11" s="54">
        <f t="shared" ref="M11:M25" si="7">O11-N11</f>
        <v>919454</v>
      </c>
      <c r="N11" s="54">
        <f t="shared" ref="N11:N22" si="8">ROUND(L11*B11,0)</f>
        <v>887926</v>
      </c>
      <c r="O11" s="54">
        <f t="shared" ref="O11:O22" si="9">ROUND(F11*B11,0)</f>
        <v>1807380</v>
      </c>
    </row>
    <row r="12" spans="1:15" s="21" customFormat="1" x14ac:dyDescent="0.3">
      <c r="A12" s="62" t="str">
        <f>Sheet1!B5</f>
        <v>1st Floor</v>
      </c>
      <c r="B12" s="60">
        <f>Sheet1!D5</f>
        <v>100.41</v>
      </c>
      <c r="C12" s="66">
        <v>2012</v>
      </c>
      <c r="D12" s="22">
        <v>2025</v>
      </c>
      <c r="E12" s="54">
        <v>23</v>
      </c>
      <c r="F12" s="54">
        <v>18000</v>
      </c>
      <c r="G12" s="54">
        <f t="shared" si="2"/>
        <v>13</v>
      </c>
      <c r="H12" s="54">
        <v>10</v>
      </c>
      <c r="I12" s="54">
        <f t="shared" si="3"/>
        <v>10</v>
      </c>
      <c r="J12" s="54">
        <f t="shared" si="4"/>
        <v>50.869565217391305</v>
      </c>
      <c r="K12" s="54">
        <f t="shared" si="5"/>
        <v>9156.5217391304341</v>
      </c>
      <c r="L12" s="54">
        <f t="shared" si="6"/>
        <v>8843</v>
      </c>
      <c r="M12" s="54">
        <f t="shared" si="7"/>
        <v>919454</v>
      </c>
      <c r="N12" s="54">
        <f t="shared" si="8"/>
        <v>887926</v>
      </c>
      <c r="O12" s="54">
        <f t="shared" si="9"/>
        <v>1807380</v>
      </c>
    </row>
    <row r="13" spans="1:15" s="21" customFormat="1" x14ac:dyDescent="0.3">
      <c r="A13" s="62" t="str">
        <f>Sheet1!B6</f>
        <v>Receving Shed</v>
      </c>
      <c r="B13" s="60">
        <f>Sheet1!D6</f>
        <v>990.26</v>
      </c>
      <c r="C13" s="66">
        <v>2012</v>
      </c>
      <c r="D13" s="22">
        <v>2025</v>
      </c>
      <c r="E13" s="54">
        <v>23</v>
      </c>
      <c r="F13" s="54">
        <v>15000</v>
      </c>
      <c r="G13" s="54">
        <f t="shared" si="2"/>
        <v>13</v>
      </c>
      <c r="H13" s="54">
        <v>10</v>
      </c>
      <c r="I13" s="54">
        <f t="shared" si="3"/>
        <v>10</v>
      </c>
      <c r="J13" s="54">
        <f t="shared" si="4"/>
        <v>50.869565217391305</v>
      </c>
      <c r="K13" s="54">
        <f t="shared" si="5"/>
        <v>7630.434782608696</v>
      </c>
      <c r="L13" s="54">
        <f t="shared" si="6"/>
        <v>7370</v>
      </c>
      <c r="M13" s="54">
        <f t="shared" si="7"/>
        <v>7555684</v>
      </c>
      <c r="N13" s="54">
        <f t="shared" si="8"/>
        <v>7298216</v>
      </c>
      <c r="O13" s="54">
        <f t="shared" si="9"/>
        <v>14853900</v>
      </c>
    </row>
    <row r="14" spans="1:15" s="21" customFormat="1" x14ac:dyDescent="0.3">
      <c r="A14" s="62" t="str">
        <f>Sheet1!B7</f>
        <v>Pre - Treatment Shed</v>
      </c>
      <c r="B14" s="60">
        <f>Sheet1!D7</f>
        <v>2928.9</v>
      </c>
      <c r="C14" s="66">
        <v>2012</v>
      </c>
      <c r="D14" s="22">
        <v>2025</v>
      </c>
      <c r="E14" s="54">
        <v>23</v>
      </c>
      <c r="F14" s="54">
        <v>15000</v>
      </c>
      <c r="G14" s="54">
        <f t="shared" si="2"/>
        <v>13</v>
      </c>
      <c r="H14" s="54">
        <v>10</v>
      </c>
      <c r="I14" s="54">
        <f t="shared" si="3"/>
        <v>10</v>
      </c>
      <c r="J14" s="54">
        <f t="shared" si="4"/>
        <v>50.869565217391305</v>
      </c>
      <c r="K14" s="54">
        <f t="shared" si="5"/>
        <v>7630.434782608696</v>
      </c>
      <c r="L14" s="54">
        <f t="shared" si="6"/>
        <v>7370</v>
      </c>
      <c r="M14" s="54">
        <f t="shared" si="7"/>
        <v>22347507</v>
      </c>
      <c r="N14" s="54">
        <f t="shared" si="8"/>
        <v>21585993</v>
      </c>
      <c r="O14" s="54">
        <f t="shared" si="9"/>
        <v>43933500</v>
      </c>
    </row>
    <row r="15" spans="1:15" s="21" customFormat="1" x14ac:dyDescent="0.3">
      <c r="A15" s="62" t="str">
        <f>Sheet1!B8</f>
        <v>Toilet Block</v>
      </c>
      <c r="B15" s="60">
        <f>Sheet1!D8</f>
        <v>42.86</v>
      </c>
      <c r="C15" s="66">
        <v>2012</v>
      </c>
      <c r="D15" s="22">
        <v>2025</v>
      </c>
      <c r="E15" s="54">
        <v>23</v>
      </c>
      <c r="F15" s="54">
        <v>12000</v>
      </c>
      <c r="G15" s="54">
        <f t="shared" si="2"/>
        <v>13</v>
      </c>
      <c r="H15" s="54">
        <v>10</v>
      </c>
      <c r="I15" s="54">
        <f t="shared" si="3"/>
        <v>10</v>
      </c>
      <c r="J15" s="54">
        <f t="shared" si="4"/>
        <v>50.869565217391305</v>
      </c>
      <c r="K15" s="54">
        <f t="shared" si="5"/>
        <v>6104.347826086957</v>
      </c>
      <c r="L15" s="54">
        <f t="shared" si="6"/>
        <v>5896</v>
      </c>
      <c r="M15" s="54">
        <f t="shared" si="7"/>
        <v>261617</v>
      </c>
      <c r="N15" s="54">
        <f t="shared" si="8"/>
        <v>252703</v>
      </c>
      <c r="O15" s="54">
        <f t="shared" si="9"/>
        <v>514320</v>
      </c>
    </row>
    <row r="16" spans="1:15" s="21" customFormat="1" x14ac:dyDescent="0.3">
      <c r="A16" s="62" t="str">
        <f>Sheet1!B9</f>
        <v>Paper Storage</v>
      </c>
      <c r="B16" s="60">
        <f>Sheet1!D9</f>
        <v>76.474999999999994</v>
      </c>
      <c r="C16" s="66">
        <v>2012</v>
      </c>
      <c r="D16" s="22">
        <v>2025</v>
      </c>
      <c r="E16" s="54">
        <v>23</v>
      </c>
      <c r="F16" s="54">
        <v>12000</v>
      </c>
      <c r="G16" s="54">
        <f t="shared" si="2"/>
        <v>13</v>
      </c>
      <c r="H16" s="54">
        <v>10</v>
      </c>
      <c r="I16" s="54">
        <f t="shared" si="3"/>
        <v>10</v>
      </c>
      <c r="J16" s="54">
        <f t="shared" si="4"/>
        <v>50.869565217391305</v>
      </c>
      <c r="K16" s="54">
        <f t="shared" si="5"/>
        <v>6104.347826086957</v>
      </c>
      <c r="L16" s="54">
        <f t="shared" si="6"/>
        <v>5896</v>
      </c>
      <c r="M16" s="54">
        <f t="shared" si="7"/>
        <v>466803</v>
      </c>
      <c r="N16" s="54">
        <f t="shared" si="8"/>
        <v>450897</v>
      </c>
      <c r="O16" s="54">
        <f t="shared" si="9"/>
        <v>917700</v>
      </c>
    </row>
    <row r="17" spans="1:15" s="21" customFormat="1" x14ac:dyDescent="0.3">
      <c r="A17" s="62" t="str">
        <f>Sheet1!B10</f>
        <v>Maturation Shed</v>
      </c>
      <c r="B17" s="60">
        <f>Sheet1!D10</f>
        <v>1724.17</v>
      </c>
      <c r="C17" s="66">
        <v>2012</v>
      </c>
      <c r="D17" s="22">
        <v>2025</v>
      </c>
      <c r="E17" s="54">
        <v>23</v>
      </c>
      <c r="F17" s="54">
        <v>15000</v>
      </c>
      <c r="G17" s="54">
        <f t="shared" si="2"/>
        <v>13</v>
      </c>
      <c r="H17" s="54">
        <v>10</v>
      </c>
      <c r="I17" s="54">
        <f t="shared" si="3"/>
        <v>10</v>
      </c>
      <c r="J17" s="54">
        <f t="shared" si="4"/>
        <v>50.869565217391305</v>
      </c>
      <c r="K17" s="54">
        <f t="shared" si="5"/>
        <v>7630.434782608696</v>
      </c>
      <c r="L17" s="54">
        <f t="shared" si="6"/>
        <v>7370</v>
      </c>
      <c r="M17" s="54">
        <f t="shared" si="7"/>
        <v>13155417</v>
      </c>
      <c r="N17" s="54">
        <f t="shared" si="8"/>
        <v>12707133</v>
      </c>
      <c r="O17" s="54">
        <f t="shared" si="9"/>
        <v>25862550</v>
      </c>
    </row>
    <row r="18" spans="1:15" s="21" customFormat="1" x14ac:dyDescent="0.3">
      <c r="A18" s="62" t="str">
        <f>Sheet1!B11</f>
        <v>Pilot Plant</v>
      </c>
      <c r="B18" s="60">
        <f>Sheet1!D11</f>
        <v>441</v>
      </c>
      <c r="C18" s="66">
        <v>2012</v>
      </c>
      <c r="D18" s="22">
        <v>2025</v>
      </c>
      <c r="E18" s="54">
        <v>23</v>
      </c>
      <c r="F18" s="54">
        <v>7000</v>
      </c>
      <c r="G18" s="54">
        <f t="shared" si="2"/>
        <v>13</v>
      </c>
      <c r="H18" s="54">
        <v>10</v>
      </c>
      <c r="I18" s="54">
        <f t="shared" si="3"/>
        <v>10</v>
      </c>
      <c r="J18" s="54">
        <f t="shared" si="4"/>
        <v>50.869565217391305</v>
      </c>
      <c r="K18" s="54">
        <f t="shared" si="5"/>
        <v>3560.8695652173915</v>
      </c>
      <c r="L18" s="54">
        <f t="shared" si="6"/>
        <v>3439</v>
      </c>
      <c r="M18" s="54">
        <f t="shared" si="7"/>
        <v>1570401</v>
      </c>
      <c r="N18" s="54">
        <f t="shared" si="8"/>
        <v>1516599</v>
      </c>
      <c r="O18" s="54">
        <f t="shared" si="9"/>
        <v>3087000</v>
      </c>
    </row>
    <row r="19" spans="1:15" s="21" customFormat="1" x14ac:dyDescent="0.3">
      <c r="A19" s="62" t="str">
        <f>Sheet1!B12</f>
        <v>RO Plant</v>
      </c>
      <c r="B19" s="60">
        <f>Sheet1!D12</f>
        <v>72</v>
      </c>
      <c r="C19" s="66">
        <v>2012</v>
      </c>
      <c r="D19" s="22">
        <v>2025</v>
      </c>
      <c r="E19" s="54">
        <v>23</v>
      </c>
      <c r="F19" s="54">
        <v>10000</v>
      </c>
      <c r="G19" s="54">
        <f t="shared" si="2"/>
        <v>13</v>
      </c>
      <c r="H19" s="54">
        <v>10</v>
      </c>
      <c r="I19" s="54">
        <f t="shared" si="3"/>
        <v>10</v>
      </c>
      <c r="J19" s="54">
        <f t="shared" si="4"/>
        <v>50.869565217391305</v>
      </c>
      <c r="K19" s="54">
        <f t="shared" si="5"/>
        <v>5086.95652173913</v>
      </c>
      <c r="L19" s="54">
        <f t="shared" si="6"/>
        <v>4913</v>
      </c>
      <c r="M19" s="54">
        <f t="shared" si="7"/>
        <v>366264</v>
      </c>
      <c r="N19" s="54">
        <f t="shared" si="8"/>
        <v>353736</v>
      </c>
      <c r="O19" s="54">
        <f t="shared" si="9"/>
        <v>720000</v>
      </c>
    </row>
    <row r="20" spans="1:15" s="21" customFormat="1" x14ac:dyDescent="0.3">
      <c r="A20" s="62" t="str">
        <f>Sheet1!B13</f>
        <v>Engine Room</v>
      </c>
      <c r="B20" s="60">
        <f>Sheet1!D13</f>
        <v>402.81</v>
      </c>
      <c r="C20" s="66">
        <v>2012</v>
      </c>
      <c r="D20" s="22">
        <v>2025</v>
      </c>
      <c r="E20" s="54">
        <v>23</v>
      </c>
      <c r="F20" s="54">
        <v>18000</v>
      </c>
      <c r="G20" s="54">
        <f t="shared" si="2"/>
        <v>13</v>
      </c>
      <c r="H20" s="54">
        <v>10</v>
      </c>
      <c r="I20" s="54">
        <f t="shared" si="3"/>
        <v>10</v>
      </c>
      <c r="J20" s="54">
        <f t="shared" si="4"/>
        <v>50.869565217391305</v>
      </c>
      <c r="K20" s="54">
        <f t="shared" si="5"/>
        <v>9156.5217391304341</v>
      </c>
      <c r="L20" s="54">
        <f t="shared" si="6"/>
        <v>8843</v>
      </c>
      <c r="M20" s="54">
        <f t="shared" si="7"/>
        <v>3688531</v>
      </c>
      <c r="N20" s="54">
        <f t="shared" si="8"/>
        <v>3562049</v>
      </c>
      <c r="O20" s="54">
        <f t="shared" si="9"/>
        <v>7250580</v>
      </c>
    </row>
    <row r="21" spans="1:15" s="21" customFormat="1" x14ac:dyDescent="0.3">
      <c r="A21" s="62" t="str">
        <f>Sheet1!B14</f>
        <v>Panel Room</v>
      </c>
      <c r="B21" s="60">
        <f>Sheet1!D14</f>
        <v>63.04</v>
      </c>
      <c r="C21" s="66">
        <v>2012</v>
      </c>
      <c r="D21" s="22">
        <v>2025</v>
      </c>
      <c r="E21" s="54">
        <v>23</v>
      </c>
      <c r="F21" s="54">
        <v>18000</v>
      </c>
      <c r="G21" s="54">
        <f t="shared" si="2"/>
        <v>13</v>
      </c>
      <c r="H21" s="54">
        <v>10</v>
      </c>
      <c r="I21" s="54">
        <f t="shared" si="3"/>
        <v>10</v>
      </c>
      <c r="J21" s="54">
        <f t="shared" si="4"/>
        <v>50.869565217391305</v>
      </c>
      <c r="K21" s="54">
        <f t="shared" si="5"/>
        <v>9156.5217391304341</v>
      </c>
      <c r="L21" s="54">
        <f t="shared" si="6"/>
        <v>8843</v>
      </c>
      <c r="M21" s="54">
        <f t="shared" si="7"/>
        <v>577257</v>
      </c>
      <c r="N21" s="54">
        <f t="shared" si="8"/>
        <v>557463</v>
      </c>
      <c r="O21" s="54">
        <f t="shared" si="9"/>
        <v>1134720</v>
      </c>
    </row>
    <row r="22" spans="1:15" s="21" customFormat="1" ht="33" x14ac:dyDescent="0.3">
      <c r="A22" s="62" t="str">
        <f>Sheet1!B15</f>
        <v>Security Cabin &amp; Weigh Bridge Cabin</v>
      </c>
      <c r="B22" s="60">
        <f>Sheet1!D15</f>
        <v>18</v>
      </c>
      <c r="C22" s="66">
        <v>2012</v>
      </c>
      <c r="D22" s="22">
        <v>2025</v>
      </c>
      <c r="E22" s="54">
        <v>23</v>
      </c>
      <c r="F22" s="54">
        <v>10000</v>
      </c>
      <c r="G22" s="54">
        <f t="shared" si="2"/>
        <v>13</v>
      </c>
      <c r="H22" s="54">
        <v>10</v>
      </c>
      <c r="I22" s="54">
        <f t="shared" si="3"/>
        <v>10</v>
      </c>
      <c r="J22" s="54">
        <f t="shared" si="4"/>
        <v>50.869565217391305</v>
      </c>
      <c r="K22" s="54">
        <f t="shared" si="5"/>
        <v>5086.95652173913</v>
      </c>
      <c r="L22" s="54">
        <f t="shared" si="6"/>
        <v>4913</v>
      </c>
      <c r="M22" s="54">
        <f t="shared" si="7"/>
        <v>91566</v>
      </c>
      <c r="N22" s="54">
        <f t="shared" si="8"/>
        <v>88434</v>
      </c>
      <c r="O22" s="54">
        <f t="shared" si="9"/>
        <v>180000</v>
      </c>
    </row>
    <row r="23" spans="1:15" s="21" customFormat="1" x14ac:dyDescent="0.3">
      <c r="A23" s="62" t="str">
        <f>Sheet1!B16</f>
        <v>Worker Room</v>
      </c>
      <c r="B23" s="60">
        <f>Sheet1!D16</f>
        <v>36</v>
      </c>
      <c r="C23" s="66">
        <v>2012</v>
      </c>
      <c r="D23" s="22">
        <v>2025</v>
      </c>
      <c r="E23" s="54">
        <v>23</v>
      </c>
      <c r="F23" s="54">
        <v>10000</v>
      </c>
      <c r="G23" s="54">
        <f t="shared" si="2"/>
        <v>13</v>
      </c>
      <c r="H23" s="54">
        <v>10</v>
      </c>
      <c r="I23" s="54">
        <f t="shared" ref="I23:I25" si="10">E23-G23</f>
        <v>10</v>
      </c>
      <c r="J23" s="54">
        <f t="shared" ref="J23:J25" si="11">IF(G23&gt;=5,90*G23/E23,0)</f>
        <v>50.869565217391305</v>
      </c>
      <c r="K23" s="54">
        <f t="shared" ref="K23:K25" si="12">F23/100*J23</f>
        <v>5086.95652173913</v>
      </c>
      <c r="L23" s="54">
        <f t="shared" ref="L23:L25" si="13">ROUND((F23-K23),0)</f>
        <v>4913</v>
      </c>
      <c r="M23" s="54">
        <f t="shared" si="7"/>
        <v>183132</v>
      </c>
      <c r="N23" s="54">
        <f t="shared" ref="N23:N25" si="14">ROUND(L23*B23,0)</f>
        <v>176868</v>
      </c>
      <c r="O23" s="54">
        <f t="shared" ref="O23:O25" si="15">ROUND(F23*B23,0)</f>
        <v>360000</v>
      </c>
    </row>
    <row r="24" spans="1:15" s="21" customFormat="1" x14ac:dyDescent="0.3">
      <c r="A24" s="62" t="str">
        <f>Sheet1!B17</f>
        <v>Digestor Tank in Litres</v>
      </c>
      <c r="B24" s="60">
        <f>Sheet1!D17</f>
        <v>7000000</v>
      </c>
      <c r="C24" s="66">
        <v>2012</v>
      </c>
      <c r="D24" s="22">
        <v>2025</v>
      </c>
      <c r="E24" s="54">
        <v>23</v>
      </c>
      <c r="F24" s="54">
        <v>7</v>
      </c>
      <c r="G24" s="54">
        <f t="shared" si="2"/>
        <v>13</v>
      </c>
      <c r="H24" s="54">
        <v>10</v>
      </c>
      <c r="I24" s="54">
        <f t="shared" si="10"/>
        <v>10</v>
      </c>
      <c r="J24" s="54">
        <f t="shared" si="11"/>
        <v>50.869565217391305</v>
      </c>
      <c r="K24" s="54">
        <f t="shared" si="12"/>
        <v>3.5608695652173918</v>
      </c>
      <c r="L24" s="54">
        <f t="shared" si="13"/>
        <v>3</v>
      </c>
      <c r="M24" s="54">
        <f t="shared" si="7"/>
        <v>28000000</v>
      </c>
      <c r="N24" s="54">
        <f t="shared" si="14"/>
        <v>21000000</v>
      </c>
      <c r="O24" s="54">
        <f t="shared" si="15"/>
        <v>49000000</v>
      </c>
    </row>
    <row r="25" spans="1:15" s="21" customFormat="1" x14ac:dyDescent="0.3">
      <c r="A25" s="62" t="str">
        <f>Sheet1!B18</f>
        <v>Gas Holder Tank</v>
      </c>
      <c r="B25" s="60">
        <f>Sheet1!D18</f>
        <v>803.84</v>
      </c>
      <c r="C25" s="66">
        <v>2012</v>
      </c>
      <c r="D25" s="22">
        <v>2025</v>
      </c>
      <c r="E25" s="54">
        <v>23</v>
      </c>
      <c r="F25" s="54">
        <v>5000</v>
      </c>
      <c r="G25" s="54">
        <f t="shared" si="2"/>
        <v>13</v>
      </c>
      <c r="H25" s="54">
        <v>10</v>
      </c>
      <c r="I25" s="54">
        <f t="shared" si="10"/>
        <v>10</v>
      </c>
      <c r="J25" s="54">
        <f t="shared" si="11"/>
        <v>50.869565217391305</v>
      </c>
      <c r="K25" s="54">
        <f t="shared" si="12"/>
        <v>2543.478260869565</v>
      </c>
      <c r="L25" s="54">
        <f t="shared" si="13"/>
        <v>2457</v>
      </c>
      <c r="M25" s="54">
        <f t="shared" si="7"/>
        <v>2044165</v>
      </c>
      <c r="N25" s="54">
        <f t="shared" si="14"/>
        <v>1975035</v>
      </c>
      <c r="O25" s="54">
        <f t="shared" si="15"/>
        <v>4019200</v>
      </c>
    </row>
    <row r="26" spans="1:15" s="25" customFormat="1" x14ac:dyDescent="0.3">
      <c r="A26" s="24" t="s">
        <v>20</v>
      </c>
      <c r="B26" s="58"/>
      <c r="C26" s="57"/>
      <c r="D26" s="57"/>
      <c r="E26" s="55"/>
      <c r="F26" s="54"/>
      <c r="G26" s="56"/>
      <c r="H26" s="56"/>
      <c r="I26" s="56"/>
      <c r="J26" s="56"/>
      <c r="K26" s="56"/>
      <c r="L26" s="56"/>
      <c r="M26" s="58">
        <f>SUM(M9:M25)</f>
        <v>82193035</v>
      </c>
      <c r="N26" s="58">
        <f>SUM(N9:N25)</f>
        <v>73345195</v>
      </c>
      <c r="O26" s="58">
        <f>SUM(O9:O25)</f>
        <v>155538230</v>
      </c>
    </row>
    <row r="27" spans="1:15" x14ac:dyDescent="0.3">
      <c r="B27" s="50"/>
      <c r="C27" s="23"/>
      <c r="D27" s="23"/>
      <c r="E27" s="23"/>
      <c r="F27" s="54"/>
      <c r="G27" s="27"/>
      <c r="H27" s="27"/>
      <c r="I27" s="27"/>
      <c r="J27" s="27"/>
      <c r="K27" s="23"/>
      <c r="L27" s="28"/>
      <c r="M27" s="29"/>
      <c r="N27" s="61"/>
      <c r="O27" s="30"/>
    </row>
    <row r="28" spans="1:15" x14ac:dyDescent="0.3">
      <c r="A28" s="129" t="s">
        <v>21</v>
      </c>
      <c r="B28" s="129"/>
      <c r="C28" s="23"/>
      <c r="D28" s="23"/>
      <c r="F28" s="30"/>
      <c r="G28" s="30"/>
      <c r="H28" s="30"/>
      <c r="I28" s="1"/>
      <c r="J28" s="1"/>
      <c r="L28" s="1"/>
      <c r="N28" s="1"/>
      <c r="O28" s="1"/>
    </row>
    <row r="29" spans="1:15" x14ac:dyDescent="0.3">
      <c r="A29" s="11" t="s">
        <v>22</v>
      </c>
      <c r="B29" s="46">
        <v>0</v>
      </c>
      <c r="C29" s="23"/>
      <c r="D29" s="23"/>
      <c r="F29" s="30"/>
      <c r="G29" s="30"/>
      <c r="H29" s="30"/>
      <c r="I29" s="1"/>
      <c r="J29" s="1"/>
      <c r="L29" s="1"/>
      <c r="N29" s="1"/>
      <c r="O29" s="1"/>
    </row>
    <row r="30" spans="1:15" x14ac:dyDescent="0.3">
      <c r="A30" s="12" t="s">
        <v>4</v>
      </c>
      <c r="B30" s="47">
        <v>0</v>
      </c>
      <c r="C30" s="23"/>
      <c r="D30" s="23"/>
      <c r="F30" s="30"/>
      <c r="G30" s="30"/>
      <c r="H30" s="30"/>
      <c r="I30" s="1" t="s">
        <v>28</v>
      </c>
      <c r="J30" s="1"/>
      <c r="L30" s="1"/>
      <c r="N30" s="1"/>
      <c r="O30" s="1"/>
    </row>
    <row r="31" spans="1:15" x14ac:dyDescent="0.3">
      <c r="A31" s="12" t="s">
        <v>5</v>
      </c>
      <c r="B31" s="46">
        <f>ROUND((B29*B30),0)</f>
        <v>0</v>
      </c>
      <c r="C31" s="23"/>
      <c r="D31" s="23"/>
      <c r="F31" s="30"/>
      <c r="G31" s="30"/>
      <c r="H31" s="30"/>
      <c r="I31" s="1"/>
      <c r="J31" s="1"/>
      <c r="L31" s="1"/>
      <c r="N31" s="1"/>
      <c r="O31" s="1"/>
    </row>
    <row r="32" spans="1:15" x14ac:dyDescent="0.3">
      <c r="A32" s="26"/>
      <c r="B32" s="59"/>
      <c r="C32" s="23"/>
      <c r="D32" s="23"/>
      <c r="F32" s="30"/>
      <c r="G32" s="30"/>
      <c r="H32" s="30"/>
      <c r="I32" s="1"/>
      <c r="J32" s="1"/>
      <c r="L32" s="1"/>
      <c r="N32" s="1"/>
      <c r="O32" s="1"/>
    </row>
    <row r="33" spans="1:15" x14ac:dyDescent="0.3">
      <c r="A33" s="130" t="s">
        <v>12</v>
      </c>
      <c r="B33" s="131"/>
      <c r="C33" s="23"/>
      <c r="D33" s="27"/>
      <c r="F33" s="27"/>
      <c r="G33" s="1"/>
      <c r="H33" s="1"/>
      <c r="I33" s="1"/>
      <c r="J33" s="1"/>
      <c r="L33" s="1"/>
      <c r="N33" s="1"/>
      <c r="O33" s="1"/>
    </row>
    <row r="34" spans="1:15" x14ac:dyDescent="0.3">
      <c r="A34" s="11" t="s">
        <v>8</v>
      </c>
      <c r="B34" s="46">
        <f>B2-B9</f>
        <v>0</v>
      </c>
      <c r="C34" s="31"/>
      <c r="D34" s="3"/>
      <c r="G34" s="1"/>
      <c r="H34" s="1"/>
      <c r="I34" s="1"/>
      <c r="J34" s="1"/>
      <c r="L34" s="1"/>
      <c r="N34" s="1"/>
      <c r="O34" s="1"/>
    </row>
    <row r="35" spans="1:15" x14ac:dyDescent="0.3">
      <c r="A35" s="12" t="s">
        <v>4</v>
      </c>
      <c r="B35" s="47">
        <v>1000</v>
      </c>
      <c r="C35" s="16"/>
      <c r="D35" s="51"/>
      <c r="G35" s="1"/>
      <c r="H35" s="1"/>
      <c r="I35" s="1"/>
      <c r="J35" s="1"/>
      <c r="L35" s="1"/>
      <c r="N35" s="1"/>
      <c r="O35" s="1"/>
    </row>
    <row r="36" spans="1:15" x14ac:dyDescent="0.3">
      <c r="A36" s="12" t="s">
        <v>5</v>
      </c>
      <c r="B36" s="46">
        <v>5000000</v>
      </c>
      <c r="C36" s="4"/>
      <c r="D36" s="3"/>
      <c r="G36" s="1"/>
      <c r="H36" s="1"/>
      <c r="I36" s="1"/>
      <c r="J36" s="1"/>
      <c r="L36" s="1"/>
      <c r="N36" s="1"/>
      <c r="O36" s="1"/>
    </row>
    <row r="37" spans="1:15" x14ac:dyDescent="0.3">
      <c r="B37" s="51"/>
      <c r="C37" s="4"/>
      <c r="D37" s="4"/>
      <c r="F37" s="10"/>
      <c r="I37" s="6"/>
      <c r="J37" s="6"/>
      <c r="M37" s="10"/>
    </row>
    <row r="38" spans="1:15" x14ac:dyDescent="0.3">
      <c r="A38" s="132" t="s">
        <v>32</v>
      </c>
      <c r="B38" s="133"/>
      <c r="C38" s="10"/>
      <c r="D38" s="3"/>
      <c r="E38" s="6"/>
      <c r="F38" s="6"/>
      <c r="G38" s="1"/>
      <c r="H38" s="1"/>
      <c r="J38" s="10"/>
      <c r="K38" s="3"/>
      <c r="M38" s="3"/>
      <c r="N38" s="1"/>
      <c r="O38" s="1"/>
    </row>
    <row r="39" spans="1:15" x14ac:dyDescent="0.3">
      <c r="A39" s="32" t="s">
        <v>10</v>
      </c>
      <c r="B39" s="46">
        <f>B4</f>
        <v>0</v>
      </c>
      <c r="C39" s="8"/>
      <c r="D39" s="8"/>
      <c r="E39" s="9"/>
      <c r="F39" s="9"/>
      <c r="G39" s="1"/>
      <c r="H39" s="1"/>
      <c r="J39" s="7"/>
      <c r="K39" s="3"/>
      <c r="M39" s="3"/>
      <c r="N39" s="1"/>
      <c r="O39" s="1"/>
    </row>
    <row r="40" spans="1:15" x14ac:dyDescent="0.3">
      <c r="A40" s="32" t="s">
        <v>11</v>
      </c>
      <c r="B40" s="46">
        <f>N26</f>
        <v>73345195</v>
      </c>
      <c r="C40" s="8"/>
      <c r="D40" s="8"/>
      <c r="E40" s="9"/>
      <c r="F40" s="9"/>
      <c r="G40" s="1"/>
      <c r="H40" s="1"/>
      <c r="J40" s="9"/>
      <c r="K40" s="3"/>
      <c r="M40" s="3"/>
      <c r="N40" s="1"/>
      <c r="O40" s="1"/>
    </row>
    <row r="41" spans="1:15" ht="33" x14ac:dyDescent="0.3">
      <c r="A41" s="32" t="s">
        <v>23</v>
      </c>
      <c r="B41" s="46">
        <f>B31</f>
        <v>0</v>
      </c>
      <c r="C41" s="8"/>
      <c r="D41" s="8"/>
      <c r="E41" s="9"/>
      <c r="F41" s="9"/>
      <c r="G41" s="1"/>
      <c r="H41" s="1"/>
      <c r="J41" s="9"/>
      <c r="K41" s="3"/>
      <c r="M41" s="3"/>
      <c r="N41" s="1"/>
      <c r="O41" s="1"/>
    </row>
    <row r="42" spans="1:15" x14ac:dyDescent="0.3">
      <c r="A42" s="32" t="s">
        <v>9</v>
      </c>
      <c r="B42" s="46">
        <f>B36</f>
        <v>5000000</v>
      </c>
      <c r="C42" s="8"/>
      <c r="D42" s="8"/>
      <c r="E42" s="9"/>
      <c r="F42" s="9"/>
      <c r="G42" s="1"/>
      <c r="H42" s="1"/>
      <c r="J42" s="9"/>
      <c r="K42" s="3"/>
      <c r="M42" s="3"/>
      <c r="N42" s="1"/>
      <c r="O42" s="1"/>
    </row>
    <row r="43" spans="1:15" ht="33" x14ac:dyDescent="0.3">
      <c r="A43" s="33" t="s">
        <v>27</v>
      </c>
      <c r="B43" s="52">
        <f>B39+B40+B41+B42</f>
        <v>78345195</v>
      </c>
      <c r="C43" s="7"/>
      <c r="D43" s="3"/>
      <c r="E43" s="3"/>
      <c r="G43" s="1"/>
      <c r="H43" s="1"/>
      <c r="J43" s="1"/>
      <c r="K43" s="3"/>
      <c r="M43" s="3"/>
      <c r="N43" s="1"/>
      <c r="O43" s="1"/>
    </row>
    <row r="44" spans="1:15" x14ac:dyDescent="0.3">
      <c r="A44" s="33" t="s">
        <v>6</v>
      </c>
      <c r="B44" s="52">
        <f>ROUND(B43*0.9,0)</f>
        <v>70510676</v>
      </c>
      <c r="C44" s="7"/>
      <c r="D44" s="3"/>
      <c r="E44" s="14"/>
      <c r="F44" s="14"/>
      <c r="G44" s="1"/>
      <c r="H44" s="1"/>
      <c r="J44" s="1"/>
      <c r="K44" s="3"/>
      <c r="M44" s="3"/>
      <c r="N44" s="1"/>
      <c r="O44" s="1"/>
    </row>
    <row r="45" spans="1:15" x14ac:dyDescent="0.3">
      <c r="A45" s="33" t="s">
        <v>7</v>
      </c>
      <c r="B45" s="52">
        <f>MROUND(B43*80%,1)</f>
        <v>62676156</v>
      </c>
      <c r="C45" s="7"/>
      <c r="D45" s="3"/>
      <c r="E45" s="14"/>
      <c r="F45" s="14"/>
      <c r="G45" s="1"/>
      <c r="H45" s="1"/>
      <c r="J45" s="1"/>
      <c r="K45" s="3"/>
      <c r="M45" s="3"/>
      <c r="N45" s="1"/>
      <c r="O45" s="1"/>
    </row>
    <row r="46" spans="1:15" x14ac:dyDescent="0.3">
      <c r="A46" s="33" t="s">
        <v>24</v>
      </c>
      <c r="B46" s="52">
        <f>O26*0.85</f>
        <v>132207495.5</v>
      </c>
      <c r="C46" s="3"/>
      <c r="D46" s="3"/>
      <c r="E46" s="3"/>
      <c r="G46" s="1"/>
      <c r="H46" s="1"/>
      <c r="J46" s="1"/>
      <c r="K46" s="3"/>
      <c r="M46" s="34"/>
      <c r="N46" s="1"/>
      <c r="O46" s="1"/>
    </row>
    <row r="47" spans="1:15" x14ac:dyDescent="0.3">
      <c r="A47" s="32" t="s">
        <v>25</v>
      </c>
      <c r="B47" s="52">
        <f>C4+N26</f>
        <v>73345195</v>
      </c>
      <c r="C47" s="3"/>
      <c r="D47" s="3"/>
      <c r="E47" s="3"/>
      <c r="G47" s="1"/>
      <c r="H47" s="1"/>
      <c r="J47" s="1"/>
      <c r="K47" s="3"/>
      <c r="M47" s="34"/>
      <c r="N47" s="1"/>
      <c r="O47" s="1"/>
    </row>
    <row r="48" spans="1:15" x14ac:dyDescent="0.3">
      <c r="A48" s="1"/>
    </row>
    <row r="49" spans="1:13" x14ac:dyDescent="0.3">
      <c r="A49" s="1"/>
      <c r="M49" s="35"/>
    </row>
    <row r="50" spans="1:13" x14ac:dyDescent="0.3">
      <c r="A50" s="1"/>
      <c r="M50" s="35"/>
    </row>
    <row r="51" spans="1:13" x14ac:dyDescent="0.3">
      <c r="A51" s="1"/>
      <c r="M51" s="35"/>
    </row>
    <row r="52" spans="1:13" x14ac:dyDescent="0.3">
      <c r="A52" s="1"/>
      <c r="M52" s="35"/>
    </row>
    <row r="53" spans="1:13" x14ac:dyDescent="0.3">
      <c r="A53" s="1"/>
      <c r="M53" s="35"/>
    </row>
    <row r="54" spans="1:13" x14ac:dyDescent="0.3">
      <c r="A54" s="1"/>
      <c r="F54" s="3">
        <v>16</v>
      </c>
      <c r="M54" s="35"/>
    </row>
    <row r="55" spans="1:13" x14ac:dyDescent="0.3">
      <c r="A55" s="1"/>
      <c r="M55" s="35"/>
    </row>
    <row r="56" spans="1:13" x14ac:dyDescent="0.3">
      <c r="A56" s="1"/>
    </row>
    <row r="57" spans="1:13" x14ac:dyDescent="0.3">
      <c r="A57" s="1"/>
    </row>
    <row r="58" spans="1:13" x14ac:dyDescent="0.3">
      <c r="A58" s="1"/>
      <c r="B58" s="45"/>
    </row>
    <row r="59" spans="1:13" x14ac:dyDescent="0.3">
      <c r="A59" s="1"/>
      <c r="B59" s="45"/>
    </row>
    <row r="60" spans="1:13" x14ac:dyDescent="0.3">
      <c r="A60" s="1"/>
      <c r="B60" s="45"/>
    </row>
    <row r="61" spans="1:13" x14ac:dyDescent="0.3">
      <c r="A61" s="1"/>
      <c r="B61" s="45"/>
    </row>
    <row r="62" spans="1:13" x14ac:dyDescent="0.3">
      <c r="A62" s="1"/>
      <c r="B62" s="45"/>
    </row>
    <row r="63" spans="1:13" x14ac:dyDescent="0.3">
      <c r="A63" s="1"/>
      <c r="B63" s="45"/>
    </row>
    <row r="64" spans="1:13" x14ac:dyDescent="0.3">
      <c r="A64" s="1"/>
      <c r="B64" s="45"/>
    </row>
    <row r="65" spans="1:11" x14ac:dyDescent="0.3">
      <c r="A65" s="1"/>
      <c r="B65" s="45"/>
    </row>
    <row r="66" spans="1:11" x14ac:dyDescent="0.3">
      <c r="A66" s="1"/>
      <c r="B66" s="45"/>
    </row>
    <row r="67" spans="1:11" x14ac:dyDescent="0.3">
      <c r="A67" s="1"/>
      <c r="B67" s="45"/>
      <c r="F67" s="36"/>
      <c r="G67" s="36"/>
      <c r="H67" s="36"/>
      <c r="I67" s="36"/>
      <c r="J67" s="36"/>
      <c r="K67" s="5"/>
    </row>
    <row r="68" spans="1:11" x14ac:dyDescent="0.3">
      <c r="A68" s="1"/>
      <c r="B68" s="45"/>
      <c r="F68" s="34"/>
      <c r="G68" s="1"/>
      <c r="H68" s="1"/>
      <c r="I68" s="34"/>
      <c r="J68" s="34"/>
    </row>
    <row r="69" spans="1:11" x14ac:dyDescent="0.3">
      <c r="A69" s="1"/>
      <c r="B69" s="45"/>
      <c r="F69" s="34"/>
      <c r="G69" s="34"/>
      <c r="H69" s="34"/>
      <c r="I69" s="44"/>
      <c r="J69" s="44"/>
    </row>
    <row r="70" spans="1:11" x14ac:dyDescent="0.3">
      <c r="A70" s="1"/>
      <c r="B70" s="45"/>
      <c r="F70" s="34"/>
      <c r="G70" s="34"/>
      <c r="H70" s="34"/>
      <c r="I70" s="34"/>
      <c r="J70" s="34"/>
    </row>
    <row r="71" spans="1:11" x14ac:dyDescent="0.3">
      <c r="A71" s="1"/>
      <c r="B71" s="45"/>
      <c r="F71" s="34"/>
      <c r="G71" s="37"/>
      <c r="H71" s="37"/>
      <c r="I71" s="34"/>
      <c r="J71" s="34"/>
    </row>
    <row r="72" spans="1:11" x14ac:dyDescent="0.3">
      <c r="A72" s="1"/>
      <c r="B72" s="45"/>
      <c r="F72" s="34"/>
      <c r="G72" s="34"/>
      <c r="H72" s="34"/>
      <c r="I72" s="34"/>
      <c r="J72" s="34"/>
    </row>
    <row r="73" spans="1:11" x14ac:dyDescent="0.3">
      <c r="A73" s="1"/>
      <c r="B73" s="45"/>
      <c r="F73" s="34"/>
      <c r="G73" s="34"/>
      <c r="H73" s="34"/>
      <c r="I73" s="34"/>
      <c r="J73" s="34"/>
    </row>
    <row r="74" spans="1:11" x14ac:dyDescent="0.3">
      <c r="A74" s="1"/>
      <c r="B74" s="45"/>
      <c r="F74" s="34"/>
      <c r="G74" s="34"/>
      <c r="H74" s="34"/>
      <c r="I74" s="34"/>
      <c r="J74" s="34"/>
    </row>
    <row r="75" spans="1:11" x14ac:dyDescent="0.3">
      <c r="A75" s="1"/>
      <c r="B75" s="45"/>
      <c r="F75" s="34"/>
      <c r="G75" s="34"/>
      <c r="H75" s="34"/>
      <c r="I75" s="34"/>
      <c r="J75" s="34"/>
    </row>
    <row r="76" spans="1:11" x14ac:dyDescent="0.3">
      <c r="A76" s="1"/>
      <c r="B76" s="45"/>
      <c r="F76" s="34"/>
      <c r="G76" s="34"/>
      <c r="H76" s="34"/>
      <c r="I76" s="34"/>
      <c r="J76" s="34"/>
    </row>
    <row r="77" spans="1:11" x14ac:dyDescent="0.3">
      <c r="A77" s="1"/>
      <c r="B77" s="45"/>
      <c r="F77" s="34"/>
      <c r="G77" s="34"/>
      <c r="H77" s="34"/>
      <c r="I77" s="34"/>
      <c r="J77" s="34"/>
    </row>
    <row r="78" spans="1:11" x14ac:dyDescent="0.3">
      <c r="A78" s="1"/>
      <c r="B78" s="45"/>
    </row>
    <row r="79" spans="1:11" x14ac:dyDescent="0.3">
      <c r="A79" s="1"/>
      <c r="B79" s="45"/>
    </row>
    <row r="80" spans="1:11" x14ac:dyDescent="0.3">
      <c r="A80" s="1"/>
      <c r="B80" s="45"/>
    </row>
    <row r="81" spans="1:6" x14ac:dyDescent="0.3">
      <c r="A81" s="1"/>
      <c r="B81" s="45"/>
    </row>
    <row r="82" spans="1:6" x14ac:dyDescent="0.3">
      <c r="A82" s="1"/>
      <c r="B82" s="45"/>
    </row>
    <row r="83" spans="1:6" x14ac:dyDescent="0.3">
      <c r="A83" s="1"/>
      <c r="B83" s="45"/>
      <c r="F83" s="38"/>
    </row>
    <row r="84" spans="1:6" x14ac:dyDescent="0.3">
      <c r="A84" s="1"/>
      <c r="B84" s="45"/>
      <c r="F84" s="38"/>
    </row>
    <row r="85" spans="1:6" x14ac:dyDescent="0.3">
      <c r="A85" s="1"/>
      <c r="B85" s="45"/>
      <c r="F85" s="38"/>
    </row>
    <row r="86" spans="1:6" x14ac:dyDescent="0.3">
      <c r="A86" s="1"/>
      <c r="B86" s="45"/>
      <c r="F86" s="38"/>
    </row>
    <row r="87" spans="1:6" x14ac:dyDescent="0.3">
      <c r="A87" s="1"/>
      <c r="B87" s="45"/>
      <c r="F87" s="38"/>
    </row>
    <row r="88" spans="1:6" x14ac:dyDescent="0.3">
      <c r="A88" s="1"/>
      <c r="B88" s="45"/>
      <c r="F88" s="38"/>
    </row>
    <row r="89" spans="1:6" x14ac:dyDescent="0.3">
      <c r="A89" s="1"/>
      <c r="B89" s="45"/>
      <c r="F89" s="38"/>
    </row>
    <row r="90" spans="1:6" x14ac:dyDescent="0.3">
      <c r="A90" s="1"/>
      <c r="B90" s="45"/>
      <c r="F90" s="38"/>
    </row>
    <row r="91" spans="1:6" x14ac:dyDescent="0.3">
      <c r="A91" s="1"/>
      <c r="B91" s="45"/>
      <c r="F91" s="38"/>
    </row>
    <row r="92" spans="1:6" x14ac:dyDescent="0.3">
      <c r="A92" s="1"/>
      <c r="B92" s="45"/>
      <c r="F92" s="38"/>
    </row>
    <row r="93" spans="1:6" x14ac:dyDescent="0.3">
      <c r="A93" s="1"/>
      <c r="B93" s="45"/>
    </row>
    <row r="94" spans="1:6" x14ac:dyDescent="0.3">
      <c r="A94" s="1"/>
      <c r="B94" s="45"/>
    </row>
    <row r="95" spans="1:6" x14ac:dyDescent="0.3">
      <c r="A95" s="1"/>
      <c r="B95" s="45"/>
    </row>
    <row r="96" spans="1:6" x14ac:dyDescent="0.3">
      <c r="A96" s="1"/>
      <c r="B96" s="45"/>
    </row>
    <row r="97" spans="1:2" x14ac:dyDescent="0.3">
      <c r="A97" s="1"/>
      <c r="B97" s="45"/>
    </row>
    <row r="98" spans="1:2" x14ac:dyDescent="0.3">
      <c r="A98" s="1"/>
      <c r="B98" s="45"/>
    </row>
    <row r="99" spans="1:2" x14ac:dyDescent="0.3">
      <c r="A99" s="1"/>
      <c r="B99" s="45"/>
    </row>
    <row r="100" spans="1:2" x14ac:dyDescent="0.3">
      <c r="A100" s="1"/>
      <c r="B100" s="45"/>
    </row>
    <row r="101" spans="1:2" x14ac:dyDescent="0.3">
      <c r="A101" s="1"/>
      <c r="B101" s="45"/>
    </row>
    <row r="102" spans="1:2" x14ac:dyDescent="0.3">
      <c r="A102" s="1"/>
      <c r="B102" s="45"/>
    </row>
    <row r="103" spans="1:2" x14ac:dyDescent="0.3">
      <c r="A103" s="1"/>
      <c r="B103" s="45"/>
    </row>
    <row r="104" spans="1:2" x14ac:dyDescent="0.3">
      <c r="A104" s="1"/>
      <c r="B104" s="45"/>
    </row>
    <row r="105" spans="1:2" x14ac:dyDescent="0.3">
      <c r="A105" s="1"/>
      <c r="B105" s="45"/>
    </row>
    <row r="106" spans="1:2" x14ac:dyDescent="0.3">
      <c r="A106" s="1"/>
      <c r="B106" s="45"/>
    </row>
    <row r="107" spans="1:2" x14ac:dyDescent="0.3">
      <c r="A107" s="1"/>
      <c r="B107" s="45"/>
    </row>
    <row r="108" spans="1:2" x14ac:dyDescent="0.3">
      <c r="A108" s="1"/>
      <c r="B108" s="45"/>
    </row>
    <row r="109" spans="1:2" x14ac:dyDescent="0.3">
      <c r="A109" s="1"/>
      <c r="B109" s="45"/>
    </row>
    <row r="110" spans="1:2" x14ac:dyDescent="0.3">
      <c r="A110" s="1"/>
      <c r="B110" s="45"/>
    </row>
    <row r="111" spans="1:2" x14ac:dyDescent="0.3">
      <c r="A111" s="1"/>
      <c r="B111" s="45"/>
    </row>
    <row r="112" spans="1:2" x14ac:dyDescent="0.3">
      <c r="A112" s="1"/>
      <c r="B112" s="45"/>
    </row>
    <row r="113" spans="1:2" x14ac:dyDescent="0.3">
      <c r="A113" s="1"/>
      <c r="B113" s="45"/>
    </row>
    <row r="114" spans="1:2" x14ac:dyDescent="0.3">
      <c r="A114" s="1"/>
      <c r="B114" s="45"/>
    </row>
    <row r="115" spans="1:2" x14ac:dyDescent="0.3">
      <c r="A115" s="1"/>
      <c r="B115" s="45"/>
    </row>
    <row r="116" spans="1:2" x14ac:dyDescent="0.3">
      <c r="A116" s="1"/>
      <c r="B116" s="45"/>
    </row>
    <row r="117" spans="1:2" x14ac:dyDescent="0.3">
      <c r="A117" s="1"/>
      <c r="B117" s="45"/>
    </row>
    <row r="118" spans="1:2" x14ac:dyDescent="0.3">
      <c r="A118" s="1"/>
      <c r="B118" s="45"/>
    </row>
    <row r="119" spans="1:2" x14ac:dyDescent="0.3">
      <c r="A119" s="1"/>
      <c r="B119" s="45"/>
    </row>
    <row r="120" spans="1:2" x14ac:dyDescent="0.3">
      <c r="A120" s="1"/>
      <c r="B120" s="45"/>
    </row>
    <row r="121" spans="1:2" x14ac:dyDescent="0.3">
      <c r="A121" s="1"/>
      <c r="B121" s="45"/>
    </row>
    <row r="122" spans="1:2" x14ac:dyDescent="0.3">
      <c r="A122" s="1"/>
      <c r="B122" s="45"/>
    </row>
    <row r="123" spans="1:2" x14ac:dyDescent="0.3">
      <c r="A123" s="1"/>
      <c r="B123" s="45"/>
    </row>
    <row r="124" spans="1:2" x14ac:dyDescent="0.3">
      <c r="A124" s="1"/>
      <c r="B124" s="45"/>
    </row>
    <row r="125" spans="1:2" x14ac:dyDescent="0.3">
      <c r="A125" s="1"/>
      <c r="B125" s="45"/>
    </row>
    <row r="126" spans="1:2" x14ac:dyDescent="0.3">
      <c r="A126" s="1"/>
      <c r="B126" s="45"/>
    </row>
    <row r="127" spans="1:2" x14ac:dyDescent="0.3">
      <c r="A127" s="1"/>
      <c r="B127" s="45"/>
    </row>
    <row r="128" spans="1:2" x14ac:dyDescent="0.3">
      <c r="A128" s="1"/>
      <c r="B128" s="45"/>
    </row>
    <row r="129" spans="1:2" x14ac:dyDescent="0.3">
      <c r="A129" s="1"/>
      <c r="B129" s="45"/>
    </row>
    <row r="130" spans="1:2" x14ac:dyDescent="0.3">
      <c r="A130" s="1"/>
      <c r="B130" s="45"/>
    </row>
    <row r="131" spans="1:2" x14ac:dyDescent="0.3">
      <c r="A131" s="1"/>
      <c r="B131" s="45"/>
    </row>
    <row r="132" spans="1:2" x14ac:dyDescent="0.3">
      <c r="A132" s="1"/>
      <c r="B132" s="45"/>
    </row>
    <row r="133" spans="1:2" x14ac:dyDescent="0.3">
      <c r="A133" s="1"/>
      <c r="B133" s="45"/>
    </row>
    <row r="134" spans="1:2" x14ac:dyDescent="0.3">
      <c r="A134" s="1"/>
      <c r="B134" s="45"/>
    </row>
    <row r="135" spans="1:2" x14ac:dyDescent="0.3">
      <c r="A135" s="1"/>
      <c r="B135" s="45"/>
    </row>
    <row r="136" spans="1:2" x14ac:dyDescent="0.3">
      <c r="A136" s="1"/>
      <c r="B136" s="45"/>
    </row>
    <row r="137" spans="1:2" x14ac:dyDescent="0.3">
      <c r="A137" s="1"/>
      <c r="B137" s="45"/>
    </row>
    <row r="138" spans="1:2" x14ac:dyDescent="0.3">
      <c r="A138" s="1"/>
      <c r="B138" s="45"/>
    </row>
    <row r="139" spans="1:2" x14ac:dyDescent="0.3">
      <c r="A139" s="1"/>
      <c r="B139" s="45"/>
    </row>
    <row r="140" spans="1:2" x14ac:dyDescent="0.3">
      <c r="A140" s="1"/>
      <c r="B140" s="45"/>
    </row>
    <row r="141" spans="1:2" x14ac:dyDescent="0.3">
      <c r="A141" s="1"/>
      <c r="B141" s="45"/>
    </row>
    <row r="142" spans="1:2" x14ac:dyDescent="0.3">
      <c r="A142" s="1"/>
      <c r="B142" s="45"/>
    </row>
    <row r="143" spans="1:2" x14ac:dyDescent="0.3">
      <c r="A143" s="1"/>
      <c r="B143" s="45"/>
    </row>
    <row r="144" spans="1:2" x14ac:dyDescent="0.3">
      <c r="A144" s="1"/>
      <c r="B144" s="45"/>
    </row>
    <row r="145" spans="1:2" x14ac:dyDescent="0.3">
      <c r="A145" s="1"/>
      <c r="B145" s="45"/>
    </row>
    <row r="146" spans="1:2" x14ac:dyDescent="0.3">
      <c r="A146" s="1"/>
      <c r="B146" s="45"/>
    </row>
    <row r="147" spans="1:2" x14ac:dyDescent="0.3">
      <c r="A147" s="1"/>
      <c r="B147" s="45"/>
    </row>
    <row r="148" spans="1:2" x14ac:dyDescent="0.3">
      <c r="A148" s="1"/>
      <c r="B148" s="45"/>
    </row>
    <row r="149" spans="1:2" x14ac:dyDescent="0.3">
      <c r="A149" s="1"/>
      <c r="B149" s="45"/>
    </row>
    <row r="150" spans="1:2" x14ac:dyDescent="0.3">
      <c r="A150" s="1"/>
      <c r="B150" s="45"/>
    </row>
    <row r="151" spans="1:2" x14ac:dyDescent="0.3">
      <c r="A151" s="1"/>
      <c r="B151" s="45"/>
    </row>
    <row r="152" spans="1:2" x14ac:dyDescent="0.3">
      <c r="A152" s="1"/>
      <c r="B152" s="45"/>
    </row>
    <row r="153" spans="1:2" x14ac:dyDescent="0.3">
      <c r="A153" s="1"/>
      <c r="B153" s="45"/>
    </row>
    <row r="154" spans="1:2" x14ac:dyDescent="0.3">
      <c r="A154" s="1"/>
      <c r="B154" s="45"/>
    </row>
    <row r="155" spans="1:2" x14ac:dyDescent="0.3">
      <c r="A155" s="1"/>
      <c r="B155" s="45"/>
    </row>
    <row r="156" spans="1:2" x14ac:dyDescent="0.3">
      <c r="A156" s="1"/>
      <c r="B156" s="45"/>
    </row>
    <row r="157" spans="1:2" x14ac:dyDescent="0.3">
      <c r="A157" s="1"/>
      <c r="B157" s="45"/>
    </row>
    <row r="158" spans="1:2" x14ac:dyDescent="0.3">
      <c r="A158" s="1"/>
      <c r="B158" s="45"/>
    </row>
    <row r="159" spans="1:2" x14ac:dyDescent="0.3">
      <c r="A159" s="1"/>
      <c r="B159" s="45"/>
    </row>
    <row r="160" spans="1:2" x14ac:dyDescent="0.3">
      <c r="A160" s="1"/>
      <c r="B160" s="45"/>
    </row>
    <row r="161" spans="1:2" x14ac:dyDescent="0.3">
      <c r="A161" s="1"/>
      <c r="B161" s="45"/>
    </row>
    <row r="162" spans="1:2" x14ac:dyDescent="0.3">
      <c r="A162" s="1"/>
      <c r="B162" s="45"/>
    </row>
    <row r="163" spans="1:2" x14ac:dyDescent="0.3">
      <c r="A163" s="1"/>
      <c r="B163" s="45"/>
    </row>
    <row r="164" spans="1:2" x14ac:dyDescent="0.3">
      <c r="A164" s="1"/>
      <c r="B164" s="45"/>
    </row>
    <row r="165" spans="1:2" x14ac:dyDescent="0.3">
      <c r="A165" s="1"/>
      <c r="B165" s="45"/>
    </row>
    <row r="166" spans="1:2" x14ac:dyDescent="0.3">
      <c r="A166" s="1"/>
      <c r="B166" s="45"/>
    </row>
    <row r="167" spans="1:2" x14ac:dyDescent="0.3">
      <c r="A167" s="1"/>
      <c r="B167" s="45"/>
    </row>
    <row r="168" spans="1:2" x14ac:dyDescent="0.3">
      <c r="A168" s="1"/>
      <c r="B168" s="45"/>
    </row>
    <row r="169" spans="1:2" x14ac:dyDescent="0.3">
      <c r="A169" s="1"/>
      <c r="B169" s="45"/>
    </row>
    <row r="170" spans="1:2" x14ac:dyDescent="0.3">
      <c r="A170" s="1"/>
      <c r="B170" s="45"/>
    </row>
    <row r="171" spans="1:2" x14ac:dyDescent="0.3">
      <c r="A171" s="1"/>
      <c r="B171" s="45"/>
    </row>
    <row r="172" spans="1:2" x14ac:dyDescent="0.3">
      <c r="A172" s="1"/>
      <c r="B172" s="45"/>
    </row>
    <row r="173" spans="1:2" x14ac:dyDescent="0.3">
      <c r="A173" s="1"/>
      <c r="B173" s="45"/>
    </row>
    <row r="174" spans="1:2" x14ac:dyDescent="0.3">
      <c r="A174" s="1"/>
      <c r="B174" s="45"/>
    </row>
    <row r="175" spans="1:2" x14ac:dyDescent="0.3">
      <c r="A175" s="1"/>
      <c r="B175" s="45"/>
    </row>
    <row r="176" spans="1:2" x14ac:dyDescent="0.3">
      <c r="A176" s="1"/>
      <c r="B176" s="45"/>
    </row>
    <row r="177" spans="1:2" x14ac:dyDescent="0.3">
      <c r="A177" s="1"/>
      <c r="B177" s="45"/>
    </row>
    <row r="178" spans="1:2" x14ac:dyDescent="0.3">
      <c r="A178" s="1"/>
      <c r="B178" s="45"/>
    </row>
    <row r="179" spans="1:2" x14ac:dyDescent="0.3">
      <c r="A179" s="1"/>
      <c r="B179" s="45"/>
    </row>
    <row r="180" spans="1:2" x14ac:dyDescent="0.3">
      <c r="A180" s="1"/>
      <c r="B180" s="45"/>
    </row>
    <row r="181" spans="1:2" x14ac:dyDescent="0.3">
      <c r="A181" s="1"/>
      <c r="B181" s="45"/>
    </row>
    <row r="182" spans="1:2" x14ac:dyDescent="0.3">
      <c r="A182" s="1"/>
      <c r="B182" s="45"/>
    </row>
    <row r="183" spans="1:2" x14ac:dyDescent="0.3">
      <c r="A183" s="1"/>
      <c r="B183" s="45"/>
    </row>
  </sheetData>
  <mergeCells count="3">
    <mergeCell ref="A28:B28"/>
    <mergeCell ref="A33:B33"/>
    <mergeCell ref="A38:B38"/>
  </mergeCells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CD28-3502-4E2D-B7A8-40719BE328B3}">
  <dimension ref="A1:F19"/>
  <sheetViews>
    <sheetView topLeftCell="A11" workbookViewId="0">
      <selection activeCell="I34" sqref="I34"/>
    </sheetView>
  </sheetViews>
  <sheetFormatPr defaultRowHeight="16.5" x14ac:dyDescent="0.3"/>
  <cols>
    <col min="1" max="1" width="3.140625" style="1" bestFit="1" customWidth="1"/>
    <col min="2" max="2" width="20" style="68" customWidth="1"/>
    <col min="3" max="3" width="12.42578125" style="69" bestFit="1" customWidth="1"/>
    <col min="4" max="4" width="12.7109375" style="1" customWidth="1"/>
    <col min="5" max="5" width="13.5703125" style="1" customWidth="1"/>
    <col min="6" max="6" width="15" style="1" customWidth="1"/>
    <col min="7" max="16384" width="9.140625" style="1"/>
  </cols>
  <sheetData>
    <row r="1" spans="1:6" s="67" customFormat="1" ht="33" x14ac:dyDescent="0.25">
      <c r="A1" s="70" t="s">
        <v>33</v>
      </c>
      <c r="B1" s="70" t="s">
        <v>34</v>
      </c>
      <c r="C1" s="70" t="s">
        <v>35</v>
      </c>
      <c r="D1" s="70" t="s">
        <v>36</v>
      </c>
      <c r="E1" s="70" t="s">
        <v>52</v>
      </c>
      <c r="F1" s="70" t="s">
        <v>60</v>
      </c>
    </row>
    <row r="2" spans="1:6" x14ac:dyDescent="0.3">
      <c r="A2" s="71">
        <v>1</v>
      </c>
      <c r="B2" s="62" t="s">
        <v>37</v>
      </c>
      <c r="C2" s="134" t="s">
        <v>51</v>
      </c>
      <c r="D2" s="60">
        <v>9</v>
      </c>
      <c r="E2" s="71">
        <v>2012</v>
      </c>
      <c r="F2" s="1">
        <f>2035-2025</f>
        <v>10</v>
      </c>
    </row>
    <row r="3" spans="1:6" x14ac:dyDescent="0.3">
      <c r="A3" s="74">
        <v>2</v>
      </c>
      <c r="B3" s="73" t="s">
        <v>38</v>
      </c>
      <c r="C3" s="134"/>
      <c r="D3" s="60"/>
      <c r="E3" s="71"/>
    </row>
    <row r="4" spans="1:6" x14ac:dyDescent="0.3">
      <c r="A4" s="71"/>
      <c r="B4" s="62" t="s">
        <v>29</v>
      </c>
      <c r="C4" s="134"/>
      <c r="D4" s="60">
        <v>100.41</v>
      </c>
      <c r="E4" s="71">
        <v>2012</v>
      </c>
    </row>
    <row r="5" spans="1:6" x14ac:dyDescent="0.3">
      <c r="A5" s="71"/>
      <c r="B5" s="62" t="s">
        <v>39</v>
      </c>
      <c r="C5" s="134"/>
      <c r="D5" s="60">
        <v>100.41</v>
      </c>
      <c r="E5" s="71">
        <v>2012</v>
      </c>
    </row>
    <row r="6" spans="1:6" ht="16.5" customHeight="1" x14ac:dyDescent="0.3">
      <c r="A6" s="71">
        <v>3</v>
      </c>
      <c r="B6" s="62" t="s">
        <v>40</v>
      </c>
      <c r="C6" s="134" t="s">
        <v>53</v>
      </c>
      <c r="D6" s="60">
        <v>990.26</v>
      </c>
      <c r="E6" s="71">
        <v>2012</v>
      </c>
    </row>
    <row r="7" spans="1:6" x14ac:dyDescent="0.3">
      <c r="A7" s="71">
        <v>4</v>
      </c>
      <c r="B7" s="62" t="s">
        <v>41</v>
      </c>
      <c r="C7" s="134"/>
      <c r="D7" s="60">
        <v>2928.9</v>
      </c>
      <c r="E7" s="71">
        <v>2012</v>
      </c>
    </row>
    <row r="8" spans="1:6" x14ac:dyDescent="0.3">
      <c r="A8" s="71">
        <v>5</v>
      </c>
      <c r="B8" s="62" t="s">
        <v>42</v>
      </c>
      <c r="C8" s="134"/>
      <c r="D8" s="60">
        <f>19.77+23.09</f>
        <v>42.86</v>
      </c>
      <c r="E8" s="71">
        <v>2012</v>
      </c>
    </row>
    <row r="9" spans="1:6" x14ac:dyDescent="0.3">
      <c r="A9" s="71">
        <v>6</v>
      </c>
      <c r="B9" s="62" t="s">
        <v>43</v>
      </c>
      <c r="C9" s="134"/>
      <c r="D9" s="60">
        <v>76.474999999999994</v>
      </c>
      <c r="E9" s="71">
        <v>2012</v>
      </c>
    </row>
    <row r="10" spans="1:6" x14ac:dyDescent="0.3">
      <c r="A10" s="71">
        <v>7</v>
      </c>
      <c r="B10" s="62" t="s">
        <v>44</v>
      </c>
      <c r="C10" s="134"/>
      <c r="D10" s="60">
        <v>1724.17</v>
      </c>
      <c r="E10" s="71">
        <v>2012</v>
      </c>
    </row>
    <row r="11" spans="1:6" x14ac:dyDescent="0.3">
      <c r="A11" s="71">
        <v>8</v>
      </c>
      <c r="B11" s="62" t="s">
        <v>45</v>
      </c>
      <c r="C11" s="134"/>
      <c r="D11" s="60">
        <v>441</v>
      </c>
      <c r="E11" s="71">
        <v>2012</v>
      </c>
    </row>
    <row r="12" spans="1:6" x14ac:dyDescent="0.3">
      <c r="A12" s="71">
        <v>9</v>
      </c>
      <c r="B12" s="62" t="s">
        <v>46</v>
      </c>
      <c r="C12" s="134" t="s">
        <v>51</v>
      </c>
      <c r="D12" s="60">
        <v>72</v>
      </c>
      <c r="E12" s="71">
        <v>2012</v>
      </c>
    </row>
    <row r="13" spans="1:6" x14ac:dyDescent="0.3">
      <c r="A13" s="71">
        <v>10</v>
      </c>
      <c r="B13" s="62" t="s">
        <v>47</v>
      </c>
      <c r="C13" s="134"/>
      <c r="D13" s="60">
        <v>402.81</v>
      </c>
      <c r="E13" s="71">
        <v>2012</v>
      </c>
    </row>
    <row r="14" spans="1:6" x14ac:dyDescent="0.3">
      <c r="A14" s="71">
        <v>11</v>
      </c>
      <c r="B14" s="62" t="s">
        <v>48</v>
      </c>
      <c r="C14" s="134"/>
      <c r="D14" s="60">
        <v>63.04</v>
      </c>
      <c r="E14" s="71">
        <v>2012</v>
      </c>
    </row>
    <row r="15" spans="1:6" ht="33" x14ac:dyDescent="0.3">
      <c r="A15" s="71">
        <v>12</v>
      </c>
      <c r="B15" s="62" t="s">
        <v>49</v>
      </c>
      <c r="C15" s="134" t="s">
        <v>51</v>
      </c>
      <c r="D15" s="60">
        <v>18</v>
      </c>
      <c r="E15" s="71">
        <v>2012</v>
      </c>
    </row>
    <row r="16" spans="1:6" x14ac:dyDescent="0.3">
      <c r="A16" s="71">
        <v>13</v>
      </c>
      <c r="B16" s="62" t="s">
        <v>50</v>
      </c>
      <c r="C16" s="134"/>
      <c r="D16" s="60">
        <v>36</v>
      </c>
      <c r="E16" s="71">
        <v>2012</v>
      </c>
    </row>
    <row r="17" spans="1:5" x14ac:dyDescent="0.3">
      <c r="A17" s="71">
        <v>14</v>
      </c>
      <c r="B17" s="62" t="s">
        <v>56</v>
      </c>
      <c r="C17" s="72" t="s">
        <v>55</v>
      </c>
      <c r="D17" s="60">
        <v>7000000</v>
      </c>
      <c r="E17" s="71">
        <v>2012</v>
      </c>
    </row>
    <row r="18" spans="1:5" ht="33" x14ac:dyDescent="0.3">
      <c r="A18" s="71">
        <v>15</v>
      </c>
      <c r="B18" s="62" t="s">
        <v>65</v>
      </c>
      <c r="C18" s="72" t="s">
        <v>57</v>
      </c>
      <c r="D18" s="60">
        <f>3.14*16*16</f>
        <v>803.84</v>
      </c>
      <c r="E18" s="71">
        <v>2012</v>
      </c>
    </row>
    <row r="19" spans="1:5" x14ac:dyDescent="0.3">
      <c r="D19" s="45"/>
    </row>
  </sheetData>
  <mergeCells count="4">
    <mergeCell ref="C15:C16"/>
    <mergeCell ref="C2:C5"/>
    <mergeCell ref="C6:C11"/>
    <mergeCell ref="C12:C14"/>
  </mergeCells>
  <phoneticPr fontId="1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 (2)</vt:lpstr>
      <vt:lpstr>Valuation VCIPL</vt:lpstr>
      <vt:lpstr>Cal till lease period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</cp:lastModifiedBy>
  <dcterms:created xsi:type="dcterms:W3CDTF">2014-10-16T12:20:47Z</dcterms:created>
  <dcterms:modified xsi:type="dcterms:W3CDTF">2025-02-07T09:03:14Z</dcterms:modified>
</cp:coreProperties>
</file>