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M\TMC Branch\Abhijit Ambadasrao Warudkar\"/>
    </mc:Choice>
  </mc:AlternateContent>
  <xr:revisionPtr revIDLastSave="0" documentId="13_ncr:1_{E7AC06ED-AA75-4E87-92C3-CF9F4B0B0E5D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C25" i="23" l="1"/>
  <c r="D23" i="23"/>
  <c r="C12" i="4"/>
  <c r="D12" i="4" s="1"/>
  <c r="D11" i="4"/>
  <c r="B11" i="4"/>
  <c r="O5" i="4"/>
  <c r="P6" i="4"/>
  <c r="S6" i="4" s="1"/>
  <c r="O7" i="4"/>
  <c r="R7" i="4" s="1"/>
  <c r="O8" i="4"/>
  <c r="P8" i="4" s="1"/>
  <c r="S8" i="4" s="1"/>
  <c r="O9" i="4"/>
  <c r="O4" i="4"/>
  <c r="P4" i="4" s="1"/>
  <c r="S4" i="4" s="1"/>
  <c r="P3" i="4"/>
  <c r="P5" i="4"/>
  <c r="S5" i="4" s="1"/>
  <c r="P9" i="4"/>
  <c r="S3" i="4"/>
  <c r="R3" i="4"/>
  <c r="R4" i="4"/>
  <c r="R5" i="4"/>
  <c r="R6" i="4"/>
  <c r="R9" i="4"/>
  <c r="R10" i="4"/>
  <c r="R11" i="4"/>
  <c r="R12" i="4"/>
  <c r="S2" i="4"/>
  <c r="R2" i="4"/>
  <c r="O2" i="4"/>
  <c r="P2" i="4" s="1"/>
  <c r="C7" i="23"/>
  <c r="B5" i="4"/>
  <c r="C3" i="4"/>
  <c r="D3" i="4" s="1"/>
  <c r="C4" i="4"/>
  <c r="D4" i="4"/>
  <c r="D5" i="4"/>
  <c r="C6" i="4"/>
  <c r="D6" i="4" s="1"/>
  <c r="C7" i="4"/>
  <c r="D7" i="4" s="1"/>
  <c r="C8" i="4"/>
  <c r="D8" i="4" s="1"/>
  <c r="C9" i="4"/>
  <c r="D9" i="4" s="1"/>
  <c r="C10" i="4"/>
  <c r="D10" i="4" s="1"/>
  <c r="C13" i="4"/>
  <c r="D13" i="4" s="1"/>
  <c r="C14" i="4"/>
  <c r="D14" i="4" s="1"/>
  <c r="C15" i="4"/>
  <c r="D15" i="4" s="1"/>
  <c r="C16" i="4"/>
  <c r="D16" i="4" s="1"/>
  <c r="C19" i="4"/>
  <c r="D19" i="4" s="1"/>
  <c r="C2" i="4"/>
  <c r="D2" i="4" s="1"/>
  <c r="I4" i="23"/>
  <c r="R8" i="4" l="1"/>
  <c r="P7" i="4"/>
  <c r="S7" i="4" s="1"/>
  <c r="D2" i="25" l="1"/>
  <c r="P11" i="4" l="1"/>
  <c r="P12" i="4"/>
  <c r="P10" i="4"/>
  <c r="F6" i="4"/>
  <c r="F5" i="4"/>
  <c r="F3" i="4"/>
  <c r="G7" i="4"/>
  <c r="F4" i="4"/>
  <c r="F2" i="4"/>
  <c r="G4" i="4" l="1"/>
  <c r="G5" i="4"/>
  <c r="G6" i="4"/>
  <c r="G3" i="4"/>
  <c r="G2" i="4"/>
  <c r="H7" i="4" l="1"/>
  <c r="C23" i="23" l="1"/>
  <c r="G25" i="4" l="1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J14" i="4"/>
  <c r="I14" i="4"/>
  <c r="A14" i="4"/>
  <c r="J13" i="4"/>
  <c r="I13" i="4"/>
  <c r="A13" i="4"/>
  <c r="J12" i="4"/>
  <c r="I12" i="4"/>
  <c r="A12" i="4"/>
  <c r="A10" i="4"/>
  <c r="A9" i="4"/>
  <c r="A8" i="4"/>
  <c r="A7" i="4"/>
  <c r="A6" i="4"/>
  <c r="A5" i="4"/>
  <c r="A4" i="4"/>
  <c r="A3" i="4"/>
  <c r="A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F32" i="23" l="1"/>
  <c r="H33" i="23" s="1"/>
  <c r="C21" i="23"/>
  <c r="J18" i="4"/>
  <c r="I18" i="4"/>
  <c r="A18" i="4"/>
  <c r="J17" i="4"/>
  <c r="I17" i="4"/>
  <c r="A17" i="4"/>
  <c r="J16" i="4"/>
  <c r="I16" i="4"/>
  <c r="A16" i="4"/>
  <c r="J15" i="4"/>
  <c r="I15" i="4"/>
  <c r="A15" i="4"/>
  <c r="F33" i="23" l="1"/>
  <c r="F34" i="23"/>
  <c r="B17" i="4"/>
  <c r="C17" i="4" s="1"/>
  <c r="D17" i="4" s="1"/>
  <c r="B18" i="4"/>
  <c r="C18" i="4" s="1"/>
  <c r="D18" i="4" s="1"/>
  <c r="G18" i="4" l="1"/>
  <c r="F18" i="4"/>
  <c r="G17" i="4"/>
  <c r="F17" i="4"/>
  <c r="G16" i="4"/>
  <c r="F16" i="4"/>
  <c r="H18" i="4"/>
  <c r="H16" i="4" l="1"/>
  <c r="H17" i="4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</calcChain>
</file>

<file path=xl/sharedStrings.xml><?xml version="1.0" encoding="utf-8"?>
<sst xmlns="http://schemas.openxmlformats.org/spreadsheetml/2006/main" count="107" uniqueCount="86">
  <si>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</si>
  <si>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</si>
  <si>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</si>
  <si>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</si>
  <si>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</si>
  <si>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</si>
  <si>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</si>
  <si>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</si>
  <si>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</si>
  <si>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</si>
  <si>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</si>
  <si>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</si>
  <si>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</si>
  <si>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</si>
  <si>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</si>
  <si>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</si>
  <si>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</si>
  <si>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</si>
  <si>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</si>
  <si>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</si>
  <si>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</si>
  <si>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</si>
  <si>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</si>
  <si>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</si>
  <si>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</si>
  <si>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</si>
  <si>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</si>
  <si>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</si>
  <si>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</si>
  <si>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</si>
  <si>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</si>
  <si>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</si>
  <si>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</si>
  <si>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</si>
  <si>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</si>
  <si>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</si>
  <si>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</si>
  <si>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</si>
  <si>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</si>
  <si>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</si>
  <si>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</si>
  <si>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</si>
  <si>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</si>
  <si>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</si>
  <si>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</si>
  <si>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</si>
  <si>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</si>
  <si>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</si>
  <si>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</si>
  <si>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</si>
  <si>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</si>
  <si>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</si>
  <si>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</si>
  <si>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</si>
  <si>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</si>
  <si>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</si>
  <si>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</si>
  <si>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</si>
  <si>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</si>
  <si>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</si>
  <si>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</si>
  <si>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</si>
  <si>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</si>
  <si>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</si>
  <si>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</si>
  <si>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</si>
  <si>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</si>
  <si>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</si>
  <si>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</si>
  <si>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</si>
  <si>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</si>
  <si>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>BUA (10%)</t>
  </si>
  <si>
    <t>Lead No. 14096</t>
  </si>
  <si>
    <t>BOM (TMC Thane Branch)</t>
  </si>
  <si>
    <t>Mr. Abhijit Ambadasrao Warudkar</t>
  </si>
  <si>
    <t>page</t>
  </si>
  <si>
    <t>Sq. M.</t>
  </si>
  <si>
    <t>BUA (20%)</t>
  </si>
  <si>
    <t xml:space="preserve">Agreement </t>
  </si>
  <si>
    <t>27.11.2024</t>
  </si>
  <si>
    <t>Built up area (20%)</t>
  </si>
  <si>
    <t>OC</t>
  </si>
  <si>
    <t>BOM  - TMC Branch Thane - Mr. Abhijit Ambadasrao Warudkar - Residential Flat No. 701, 7th Floor, Building No. B4, Buddhadev Vihar Co.-Op. Hsg. Soc. Ltd, Village - Chitalsar Manpada, Taluka - Thane, District - Thane, Thane West, PIN Code - 400 607</t>
  </si>
  <si>
    <t>7th Flr</t>
  </si>
  <si>
    <t xml:space="preserve">Measurment </t>
  </si>
  <si>
    <t>2 BHK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</si>
</sst>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32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4" fillId="0" borderId="0" xfId="0" applyFont="1"/>
    <xf numFmtId="3" fontId="17" fillId="2" borderId="0" xfId="0" applyNumberFormat="1" applyFont="1" applyFill="1"/>
    <xf numFmtId="3" fontId="15" fillId="0" borderId="0" xfId="0" applyNumberFormat="1" applyFont="1"/>
    <xf numFmtId="43" fontId="17" fillId="0" borderId="0" xfId="0" applyNumberFormat="1" applyFont="1"/>
    <xf numFmtId="43" fontId="1" fillId="0" borderId="7" xfId="0" applyNumberFormat="1" applyFont="1" applyBorder="1"/>
    <xf numFmtId="0" fontId="2" fillId="0" borderId="0" xfId="0" applyFont="1" applyAlignment="1">
      <alignment horizontal="center"/>
    </xf>
    <xf numFmtId="1" fontId="2" fillId="2" borderId="0" xfId="0" applyNumberFormat="1" applyFont="1" applyFill="1" applyAlignment="1">
      <alignment horizontal="center"/>
    </xf>
    <xf numFmtId="2" fontId="2" fillId="2" borderId="0" xfId="0" applyNumberFormat="1" applyFont="1" applyFill="1" applyAlignment="1">
      <alignment horizontal="center"/>
    </xf>
    <xf numFmtId="43" fontId="2" fillId="2" borderId="0" xfId="1" applyFont="1" applyFill="1"/>
    <xf numFmtId="4" fontId="0" fillId="3" borderId="0" xfId="0" applyNumberFormat="1" applyFill="1"/>
    <xf numFmtId="0" fontId="2" fillId="2" borderId="4" xfId="0" applyFont="1" applyFill="1" applyBorder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Font="1" applyBorder="1"/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0" xfId="0" applyNumberFormat="1" applyFont="1"/>
    <xf numFmtId="0" fontId="0" fillId="0" borderId="0" xfId="0" applyFont="1"/>
    <xf numFmtId="43" fontId="0" fillId="0" borderId="7" xfId="0" applyNumberFormat="1" applyFont="1" applyBorder="1"/>
    <xf numFmtId="43" fontId="0" fillId="2" borderId="0" xfId="0" applyNumberFormat="1" applyFont="1" applyFill="1"/>
    <xf numFmtId="0" fontId="11" fillId="0" borderId="8" xfId="0" applyFont="1" applyBorder="1" applyAlignment="1">
      <alignment horizontal="center"/>
    </xf>
    <xf numFmtId="43" fontId="11" fillId="0" borderId="8" xfId="1" applyFont="1" applyFill="1" applyBorder="1"/>
    <xf numFmtId="0" fontId="0" fillId="2" borderId="0" xfId="0" applyFont="1" applyFill="1"/>
    <xf numFmtId="4" fontId="0" fillId="0" borderId="0" xfId="0" applyNumberFormat="1" applyFill="1"/>
    <xf numFmtId="4" fontId="0" fillId="3" borderId="0" xfId="0" applyNumberFormat="1" applyFont="1" applyFill="1"/>
    <xf numFmtId="0" fontId="0" fillId="3" borderId="0" xfId="0" applyFill="1"/>
    <xf numFmtId="0" fontId="0" fillId="0" borderId="0" xfId="0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16</xdr:col>
      <xdr:colOff>5755</xdr:colOff>
      <xdr:row>54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77E344-F38B-0103-92A2-E71CC9E24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735909" cy="8592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343884</xdr:colOff>
      <xdr:row>42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E1E916-6DCF-578B-D601-94B4D2184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49484" cy="8164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11</xdr:col>
      <xdr:colOff>248620</xdr:colOff>
      <xdr:row>80</xdr:row>
      <xdr:rowOff>77168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5C5813-4509-7678-9C84-F42C17DD0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6954220" cy="69351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13</xdr:col>
      <xdr:colOff>525054</xdr:colOff>
      <xdr:row>124</xdr:row>
      <xdr:rowOff>10670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509B2D6-8BE2-F188-AB70-933493CAE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430500"/>
          <a:ext cx="8449854" cy="8202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14</xdr:col>
      <xdr:colOff>496560</xdr:colOff>
      <xdr:row>169</xdr:row>
      <xdr:rowOff>115459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EB6A36E-B763-E264-5477-033BBAC08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003000"/>
          <a:ext cx="9030960" cy="8306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11</xdr:col>
      <xdr:colOff>372463</xdr:colOff>
      <xdr:row>210</xdr:row>
      <xdr:rowOff>134379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3E50A3C-F5CB-54A8-BCCC-0745ABA0B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2766000"/>
          <a:ext cx="7078063" cy="7373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11</xdr:col>
      <xdr:colOff>524884</xdr:colOff>
      <xdr:row>252</xdr:row>
      <xdr:rowOff>48695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613FFE7-3B1E-12DC-A5A4-EAA663E93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0386000"/>
          <a:ext cx="7230484" cy="7668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11</xdr:col>
      <xdr:colOff>77147</xdr:colOff>
      <xdr:row>291</xdr:row>
      <xdr:rowOff>86721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A53283B-8F46-B563-013F-E859B63AC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8387000"/>
          <a:ext cx="6782747" cy="7135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11</xdr:col>
      <xdr:colOff>372463</xdr:colOff>
      <xdr:row>335</xdr:row>
      <xdr:rowOff>77327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F0AC623-8485-6370-3F42-05D63E64E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5816500"/>
          <a:ext cx="7078063" cy="8078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337</xdr:row>
      <xdr:rowOff>0</xdr:rowOff>
    </xdr:from>
    <xdr:to>
      <xdr:col>14</xdr:col>
      <xdr:colOff>96454</xdr:colOff>
      <xdr:row>381</xdr:row>
      <xdr:rowOff>115486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1EFF433-2535-0BE8-0ECA-1806FBCC0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4198500"/>
          <a:ext cx="8630854" cy="8497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383</xdr:row>
      <xdr:rowOff>0</xdr:rowOff>
    </xdr:from>
    <xdr:to>
      <xdr:col>14</xdr:col>
      <xdr:colOff>458455</xdr:colOff>
      <xdr:row>428</xdr:row>
      <xdr:rowOff>105986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B5B2D69-100C-C413-A11F-FD74E3FCD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2961500"/>
          <a:ext cx="8992855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544107</xdr:colOff>
      <xdr:row>42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DC6E10-32E4-57D0-A8DE-EB9E75EB1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68907" cy="8135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13</xdr:col>
      <xdr:colOff>163054</xdr:colOff>
      <xdr:row>85</xdr:row>
      <xdr:rowOff>29643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15D58A-4CC6-92D0-5906-186595C86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8087854" cy="7649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11</xdr:col>
      <xdr:colOff>324831</xdr:colOff>
      <xdr:row>127</xdr:row>
      <xdr:rowOff>77274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1496A0F-E6B2-8A2D-BBE1-38FA33EBE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573500"/>
          <a:ext cx="7030431" cy="7697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10</xdr:col>
      <xdr:colOff>305693</xdr:colOff>
      <xdr:row>171</xdr:row>
      <xdr:rowOff>96353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A279497-5E17-D7DC-713B-422EA498A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765000"/>
          <a:ext cx="6401693" cy="7906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323430</v>
      </c>
      <c r="G2" s="112" t="s">
        <v>44</v>
      </c>
      <c r="H2" s="113"/>
    </row>
    <row r="3" spans="2:17" ht="15.75" thickBot="1" x14ac:dyDescent="0.3">
      <c r="B3" s="30" t="s">
        <v>34</v>
      </c>
      <c r="C3" s="32">
        <v>215620</v>
      </c>
      <c r="D3" s="30"/>
      <c r="E3" s="30"/>
      <c r="F3" s="30"/>
      <c r="G3" s="43" t="s">
        <v>45</v>
      </c>
      <c r="H3" s="44" t="s">
        <v>46</v>
      </c>
      <c r="I3" s="45"/>
      <c r="K3" s="46" t="s">
        <v>47</v>
      </c>
      <c r="L3" s="47"/>
      <c r="N3" s="48" t="s">
        <v>48</v>
      </c>
      <c r="O3" s="49"/>
      <c r="P3" s="49"/>
      <c r="Q3" s="50"/>
    </row>
    <row r="4" spans="2:17" ht="27" thickBot="1" x14ac:dyDescent="0.3">
      <c r="B4" s="30" t="s">
        <v>35</v>
      </c>
      <c r="C4" s="32">
        <v>107810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25</v>
      </c>
      <c r="L4" s="55" t="s">
        <v>26</v>
      </c>
      <c r="N4" s="43" t="s">
        <v>45</v>
      </c>
      <c r="O4" s="56" t="s">
        <v>46</v>
      </c>
      <c r="P4" s="57"/>
    </row>
    <row r="5" spans="2:17" ht="15.75" thickBot="1" x14ac:dyDescent="0.3">
      <c r="B5" s="30" t="s">
        <v>49</v>
      </c>
      <c r="C5" s="33">
        <f>C3+C4</f>
        <v>323430</v>
      </c>
      <c r="D5" s="34" t="s">
        <v>36</v>
      </c>
      <c r="E5" s="35">
        <f>ROUND(C5/10.764,0)</f>
        <v>30047</v>
      </c>
      <c r="F5" s="34" t="s">
        <v>37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50</v>
      </c>
      <c r="C6" s="32">
        <v>18400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27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51</v>
      </c>
      <c r="C7" s="33">
        <f>C5-C6</f>
        <v>305030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29</v>
      </c>
      <c r="L7" s="58" t="s">
        <v>30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52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53</v>
      </c>
      <c r="D9" s="33">
        <f>ROUND(C7*D8,0)</f>
        <v>280628</v>
      </c>
      <c r="E9" s="30"/>
      <c r="F9" s="30"/>
      <c r="G9" s="51">
        <v>6</v>
      </c>
      <c r="H9" s="52">
        <v>6</v>
      </c>
      <c r="I9" s="53">
        <v>94</v>
      </c>
      <c r="K9" s="64" t="s">
        <v>28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54</v>
      </c>
      <c r="C10" s="33">
        <f>C6+D9</f>
        <v>299028</v>
      </c>
      <c r="D10" s="34" t="s">
        <v>36</v>
      </c>
      <c r="E10" s="35">
        <f>ROUND(C10/10.764,0)</f>
        <v>27780</v>
      </c>
      <c r="F10" s="34" t="s">
        <v>37</v>
      </c>
      <c r="G10" s="51">
        <v>7</v>
      </c>
      <c r="H10" s="52">
        <v>7</v>
      </c>
      <c r="I10" s="53">
        <v>93</v>
      </c>
      <c r="K10" s="66" t="s">
        <v>31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32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38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33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39</v>
      </c>
      <c r="C13" s="39">
        <v>2016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40</v>
      </c>
      <c r="C14" s="39">
        <f>C12-C13</f>
        <v>8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55</v>
      </c>
      <c r="C15" s="31">
        <f>60-C14</f>
        <v>52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13" zoomScale="130" zoomScaleNormal="130" workbookViewId="0">
      <selection activeCell="E17" sqref="E17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22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15"/>
      <c r="D1" s="9"/>
      <c r="L1" t="s">
        <v>84</v>
      </c>
    </row>
    <row r="2" spans="1:13" x14ac:dyDescent="0.25">
      <c r="A2" s="10"/>
      <c r="C2" s="106" t="s">
        <v>83</v>
      </c>
      <c r="D2" s="12"/>
      <c r="F2" s="5"/>
      <c r="G2" s="5"/>
      <c r="H2" s="106" t="s">
        <v>76</v>
      </c>
      <c r="I2" s="92" t="s">
        <v>37</v>
      </c>
      <c r="J2" s="80"/>
      <c r="L2" t="s">
        <v>64</v>
      </c>
      <c r="M2">
        <v>621</v>
      </c>
    </row>
    <row r="3" spans="1:13" ht="18.75" x14ac:dyDescent="0.3">
      <c r="A3" s="10" t="s">
        <v>9</v>
      </c>
      <c r="B3" s="13"/>
      <c r="C3" s="116">
        <f>C4+C5</f>
        <v>21200</v>
      </c>
      <c r="D3" s="14" t="s">
        <v>56</v>
      </c>
      <c r="F3" s="79" t="s">
        <v>68</v>
      </c>
      <c r="G3" s="92" t="s">
        <v>64</v>
      </c>
      <c r="H3" s="84"/>
      <c r="I3" s="107">
        <v>599</v>
      </c>
      <c r="J3" s="84"/>
    </row>
    <row r="4" spans="1:13" ht="30" x14ac:dyDescent="0.25">
      <c r="A4" s="15" t="s">
        <v>10</v>
      </c>
      <c r="B4" s="13"/>
      <c r="C4" s="116">
        <v>2700</v>
      </c>
      <c r="D4" s="16"/>
      <c r="F4" s="91" t="s">
        <v>85</v>
      </c>
      <c r="G4" s="92" t="s">
        <v>77</v>
      </c>
      <c r="H4" s="108">
        <v>66.8</v>
      </c>
      <c r="I4" s="107">
        <f>H4*10.764</f>
        <v>719.03519999999992</v>
      </c>
      <c r="J4" s="80"/>
      <c r="K4" s="3"/>
      <c r="L4" s="3"/>
    </row>
    <row r="5" spans="1:13" x14ac:dyDescent="0.25">
      <c r="A5" s="10" t="s">
        <v>11</v>
      </c>
      <c r="B5" s="13"/>
      <c r="C5" s="116">
        <v>18500</v>
      </c>
      <c r="D5" s="16"/>
      <c r="F5" s="5"/>
      <c r="G5" s="80"/>
      <c r="H5" s="80"/>
      <c r="I5" s="81"/>
    </row>
    <row r="6" spans="1:13" x14ac:dyDescent="0.25">
      <c r="A6" s="10" t="s">
        <v>12</v>
      </c>
      <c r="B6" s="13"/>
      <c r="C6" s="116">
        <f>C4</f>
        <v>2700</v>
      </c>
      <c r="D6" s="16"/>
      <c r="F6" s="5"/>
      <c r="G6" s="80"/>
      <c r="H6" s="84"/>
      <c r="I6" s="81"/>
    </row>
    <row r="7" spans="1:13" x14ac:dyDescent="0.25">
      <c r="A7" s="10" t="s">
        <v>13</v>
      </c>
      <c r="B7" s="17"/>
      <c r="C7" s="4">
        <f>E9-E8</f>
        <v>19</v>
      </c>
      <c r="D7" s="18"/>
    </row>
    <row r="8" spans="1:13" x14ac:dyDescent="0.25">
      <c r="A8" s="10" t="s">
        <v>14</v>
      </c>
      <c r="B8" s="17"/>
      <c r="C8" s="4">
        <f>C9-C7</f>
        <v>41</v>
      </c>
      <c r="D8" s="92" t="s">
        <v>81</v>
      </c>
      <c r="E8" s="92">
        <v>2006</v>
      </c>
    </row>
    <row r="9" spans="1:13" x14ac:dyDescent="0.25">
      <c r="A9" s="10" t="s">
        <v>15</v>
      </c>
      <c r="B9" s="17"/>
      <c r="C9" s="4">
        <v>60</v>
      </c>
      <c r="D9" s="93"/>
      <c r="E9" s="92">
        <v>2025</v>
      </c>
      <c r="M9" s="78"/>
    </row>
    <row r="10" spans="1:13" ht="30" x14ac:dyDescent="0.25">
      <c r="A10" s="15" t="s">
        <v>16</v>
      </c>
      <c r="B10" s="17"/>
      <c r="C10" s="4">
        <f>90*C7/C9</f>
        <v>28.5</v>
      </c>
      <c r="D10" s="4"/>
      <c r="E10" s="5"/>
      <c r="F10" s="78"/>
      <c r="G10" s="78"/>
    </row>
    <row r="11" spans="1:13" x14ac:dyDescent="0.25">
      <c r="A11" s="10"/>
      <c r="B11" s="19"/>
      <c r="C11" s="117">
        <f>C10%</f>
        <v>0.28499999999999998</v>
      </c>
      <c r="D11" s="20"/>
      <c r="E11" s="3"/>
    </row>
    <row r="12" spans="1:13" x14ac:dyDescent="0.25">
      <c r="A12" s="10" t="s">
        <v>17</v>
      </c>
      <c r="B12" s="13"/>
      <c r="C12" s="116">
        <f>C6*C11</f>
        <v>769.49999999999989</v>
      </c>
      <c r="D12" s="16"/>
    </row>
    <row r="13" spans="1:13" x14ac:dyDescent="0.25">
      <c r="A13" s="10" t="s">
        <v>18</v>
      </c>
      <c r="B13" s="13"/>
      <c r="C13" s="116">
        <f>C6-C12</f>
        <v>1930.5</v>
      </c>
      <c r="D13" s="16"/>
    </row>
    <row r="14" spans="1:13" x14ac:dyDescent="0.25">
      <c r="A14" s="10" t="s">
        <v>11</v>
      </c>
      <c r="B14" s="13"/>
      <c r="C14" s="116">
        <f>C5</f>
        <v>18500</v>
      </c>
      <c r="D14" s="16"/>
      <c r="F14" s="78"/>
      <c r="G14" s="78"/>
      <c r="H14" s="4"/>
    </row>
    <row r="15" spans="1:13" x14ac:dyDescent="0.25">
      <c r="B15" s="13"/>
      <c r="C15" s="116"/>
      <c r="D15" s="16"/>
      <c r="H15" s="4"/>
    </row>
    <row r="16" spans="1:13" x14ac:dyDescent="0.25">
      <c r="A16" s="21" t="s">
        <v>19</v>
      </c>
      <c r="B16" s="22"/>
      <c r="C16" s="118">
        <f>C14+C13</f>
        <v>20430.5</v>
      </c>
      <c r="D16" s="14"/>
      <c r="E16" s="38"/>
      <c r="H16" s="78"/>
    </row>
    <row r="17" spans="1:8" x14ac:dyDescent="0.25">
      <c r="B17" s="17"/>
      <c r="C17" s="4"/>
      <c r="D17" s="18"/>
      <c r="H17" s="78"/>
    </row>
    <row r="18" spans="1:8" ht="16.5" x14ac:dyDescent="0.3">
      <c r="A18" s="111" t="s">
        <v>64</v>
      </c>
      <c r="B18" s="5"/>
      <c r="C18" s="119">
        <v>599</v>
      </c>
      <c r="D18" s="102"/>
      <c r="E18" s="103"/>
    </row>
    <row r="19" spans="1:8" x14ac:dyDescent="0.25">
      <c r="A19" s="10"/>
      <c r="B19" s="4"/>
      <c r="C19" s="120">
        <f>C18*C16</f>
        <v>12237869.5</v>
      </c>
      <c r="D19" s="4" t="s">
        <v>42</v>
      </c>
      <c r="E19" s="104"/>
      <c r="H19" s="4"/>
    </row>
    <row r="20" spans="1:8" x14ac:dyDescent="0.25">
      <c r="A20" s="10"/>
      <c r="B20" s="38"/>
      <c r="C20" s="120">
        <f>C19*0.9</f>
        <v>11014082.550000001</v>
      </c>
      <c r="D20" s="4" t="s">
        <v>20</v>
      </c>
      <c r="E20" s="83"/>
      <c r="F20" s="6"/>
      <c r="H20" s="78"/>
    </row>
    <row r="21" spans="1:8" x14ac:dyDescent="0.25">
      <c r="A21" s="10"/>
      <c r="C21" s="120">
        <f>C19*80%</f>
        <v>9790295.5999999996</v>
      </c>
      <c r="D21" s="4" t="s">
        <v>21</v>
      </c>
      <c r="E21" s="83"/>
      <c r="F21" s="38"/>
    </row>
    <row r="22" spans="1:8" x14ac:dyDescent="0.25">
      <c r="A22" s="10"/>
      <c r="D22" s="3"/>
      <c r="E22" s="83"/>
    </row>
    <row r="23" spans="1:8" x14ac:dyDescent="0.25">
      <c r="A23" s="24" t="s">
        <v>22</v>
      </c>
      <c r="B23" s="25"/>
      <c r="C23" s="123">
        <f>C4*D23</f>
        <v>1940759.9999999998</v>
      </c>
      <c r="D23" s="105">
        <f>C18*1.2</f>
        <v>718.8</v>
      </c>
      <c r="E23" s="83"/>
    </row>
    <row r="24" spans="1:8" x14ac:dyDescent="0.25">
      <c r="A24" s="10" t="s">
        <v>23</v>
      </c>
      <c r="D24" s="3"/>
      <c r="E24" s="3"/>
    </row>
    <row r="25" spans="1:8" x14ac:dyDescent="0.25">
      <c r="A25" s="26" t="s">
        <v>24</v>
      </c>
      <c r="B25" s="11"/>
      <c r="C25" s="121">
        <f>C19*0.025/12</f>
        <v>25495.561458333334</v>
      </c>
      <c r="D25" s="83"/>
      <c r="E25" s="83"/>
    </row>
    <row r="26" spans="1:8" x14ac:dyDescent="0.25">
      <c r="C26" s="121"/>
      <c r="D26" s="23"/>
      <c r="F26" s="80" t="s">
        <v>72</v>
      </c>
    </row>
    <row r="27" spans="1:8" x14ac:dyDescent="0.25">
      <c r="A27" s="5" t="s">
        <v>82</v>
      </c>
      <c r="B27" s="5"/>
      <c r="C27" s="124"/>
      <c r="D27" s="82"/>
    </row>
    <row r="28" spans="1:8" x14ac:dyDescent="0.25">
      <c r="D28" s="78"/>
    </row>
    <row r="29" spans="1:8" x14ac:dyDescent="0.25">
      <c r="A29" s="80" t="s">
        <v>78</v>
      </c>
      <c r="B29" s="80"/>
      <c r="D29"/>
      <c r="G29" s="3"/>
      <c r="H29" s="3"/>
    </row>
    <row r="30" spans="1:8" ht="18.75" x14ac:dyDescent="0.3">
      <c r="A30" s="80" t="s">
        <v>79</v>
      </c>
      <c r="B30" s="109">
        <v>9200000</v>
      </c>
      <c r="D30"/>
      <c r="E30" s="125" t="s">
        <v>73</v>
      </c>
      <c r="F30" s="125"/>
      <c r="G30" s="3"/>
      <c r="H30" s="3"/>
    </row>
    <row r="31" spans="1:8" ht="18.75" x14ac:dyDescent="0.3">
      <c r="D31"/>
      <c r="E31" s="125" t="s">
        <v>74</v>
      </c>
      <c r="F31" s="125"/>
      <c r="G31" s="3"/>
      <c r="H31" s="3"/>
    </row>
    <row r="32" spans="1:8" ht="18.75" x14ac:dyDescent="0.3">
      <c r="D32"/>
      <c r="E32" s="126" t="s">
        <v>42</v>
      </c>
      <c r="F32" s="126">
        <f>C19</f>
        <v>12237869.5</v>
      </c>
      <c r="G32" s="3"/>
      <c r="H32" s="3"/>
    </row>
    <row r="33" spans="1:8" ht="18.75" x14ac:dyDescent="0.3">
      <c r="D33"/>
      <c r="E33" s="126" t="s">
        <v>20</v>
      </c>
      <c r="F33" s="126">
        <f>F32*90%</f>
        <v>11014082.550000001</v>
      </c>
      <c r="G33" s="3"/>
      <c r="H33" s="83">
        <f>F32*80</f>
        <v>979029560</v>
      </c>
    </row>
    <row r="34" spans="1:8" ht="18.75" x14ac:dyDescent="0.3">
      <c r="C34" s="121"/>
      <c r="D34"/>
      <c r="E34" s="126" t="s">
        <v>21</v>
      </c>
      <c r="F34" s="126">
        <f>F32*80%</f>
        <v>9790295.5999999996</v>
      </c>
      <c r="G34" s="3"/>
      <c r="H34" s="3"/>
    </row>
    <row r="35" spans="1:8" x14ac:dyDescent="0.25">
      <c r="D35"/>
      <c r="E35" s="122"/>
      <c r="F35" s="127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3" x14ac:dyDescent="0.25">
      <c r="C84" s="122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Q2" sqref="Q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20.1406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4</v>
      </c>
      <c r="C1" s="1" t="s">
        <v>80</v>
      </c>
      <c r="D1" s="1" t="s">
        <v>6</v>
      </c>
      <c r="E1" s="1" t="s">
        <v>1</v>
      </c>
      <c r="F1" s="1" t="s">
        <v>5</v>
      </c>
      <c r="G1" s="1" t="s">
        <v>7</v>
      </c>
      <c r="H1" s="1" t="s">
        <v>8</v>
      </c>
      <c r="I1" s="1" t="s">
        <v>2</v>
      </c>
      <c r="J1" s="1" t="s">
        <v>3</v>
      </c>
      <c r="O1" s="1" t="s">
        <v>64</v>
      </c>
      <c r="P1" s="1" t="s">
        <v>71</v>
      </c>
      <c r="Q1" s="1" t="s">
        <v>1</v>
      </c>
      <c r="R1" s="1" t="s">
        <v>70</v>
      </c>
      <c r="S1" s="1" t="s">
        <v>69</v>
      </c>
      <c r="U1" s="2"/>
      <c r="V1" s="2"/>
      <c r="W1" s="2"/>
      <c r="X1" s="2"/>
      <c r="Y1" s="2"/>
    </row>
    <row r="2" spans="1:32" x14ac:dyDescent="0.25">
      <c r="A2" t="e">
        <f>#REF!</f>
        <v>#REF!</v>
      </c>
      <c r="B2">
        <v>641</v>
      </c>
      <c r="C2">
        <f>B2*1.2</f>
        <v>769.19999999999993</v>
      </c>
      <c r="D2" s="95">
        <f>C2*1.2</f>
        <v>923.03999999999985</v>
      </c>
      <c r="E2" s="129">
        <v>11000000</v>
      </c>
      <c r="F2" s="129">
        <f>E2/B2</f>
        <v>17160.686427457098</v>
      </c>
      <c r="G2" s="85">
        <f>E2/C2</f>
        <v>14300.572022880917</v>
      </c>
      <c r="H2">
        <f>E2/D2</f>
        <v>11917.143352400764</v>
      </c>
      <c r="I2">
        <v>8</v>
      </c>
      <c r="J2">
        <v>801</v>
      </c>
      <c r="N2">
        <v>79.17</v>
      </c>
      <c r="O2" s="94">
        <f>N2*10.764</f>
        <v>852.18588</v>
      </c>
      <c r="P2" s="95">
        <f>O2*1.1</f>
        <v>937.40446800000007</v>
      </c>
      <c r="Q2" s="95">
        <v>17000000</v>
      </c>
      <c r="R2" s="110">
        <f>Q2/O2</f>
        <v>19948.699455100101</v>
      </c>
      <c r="S2" s="95">
        <f>Q2/P2</f>
        <v>18135.181322818273</v>
      </c>
      <c r="T2" s="95"/>
      <c r="U2" s="96"/>
      <c r="V2" s="3"/>
      <c r="W2" s="3"/>
      <c r="X2" s="3"/>
      <c r="Y2" s="3"/>
      <c r="AB2" s="40"/>
    </row>
    <row r="3" spans="1:32" x14ac:dyDescent="0.25">
      <c r="A3" t="e">
        <f>#REF!</f>
        <v>#REF!</v>
      </c>
      <c r="B3" s="100">
        <v>680</v>
      </c>
      <c r="C3">
        <f t="shared" ref="C3:D3" si="0">B3*1.2</f>
        <v>816</v>
      </c>
      <c r="D3" s="95">
        <f t="shared" si="0"/>
        <v>979.19999999999993</v>
      </c>
      <c r="E3" s="95">
        <v>10500000</v>
      </c>
      <c r="F3" s="128">
        <f t="shared" ref="F3:F6" si="1">E3/B3</f>
        <v>15441.176470588236</v>
      </c>
      <c r="G3" s="85">
        <f t="shared" ref="G3:G7" si="2">E3/C3</f>
        <v>12867.64705882353</v>
      </c>
      <c r="H3">
        <f t="shared" ref="H3:H7" si="3">E3/D3</f>
        <v>10723.039215686274</v>
      </c>
      <c r="I3">
        <v>5</v>
      </c>
      <c r="J3">
        <v>507</v>
      </c>
      <c r="O3" s="94">
        <v>320</v>
      </c>
      <c r="P3" s="95">
        <f t="shared" ref="P3:P9" si="4">O3*1.1</f>
        <v>352</v>
      </c>
      <c r="Q3" s="95">
        <v>5565000</v>
      </c>
      <c r="R3" s="128">
        <f t="shared" ref="R3:R12" si="5">Q3/O3</f>
        <v>17390.625</v>
      </c>
      <c r="S3" s="95">
        <f t="shared" ref="S3:S8" si="6">Q3/P3</f>
        <v>15809.65909090909</v>
      </c>
      <c r="T3" s="95"/>
      <c r="U3" s="96"/>
      <c r="V3" s="3"/>
      <c r="W3" s="3"/>
      <c r="X3" s="3"/>
      <c r="Y3" s="3"/>
      <c r="AF3" s="40"/>
    </row>
    <row r="4" spans="1:32" x14ac:dyDescent="0.25">
      <c r="A4" t="e">
        <f>#REF!</f>
        <v>#REF!</v>
      </c>
      <c r="B4" s="78">
        <v>1050</v>
      </c>
      <c r="C4">
        <f t="shared" ref="C4:D4" si="7">B4*1.2</f>
        <v>1260</v>
      </c>
      <c r="D4" s="95">
        <f t="shared" si="7"/>
        <v>1512</v>
      </c>
      <c r="E4" s="95">
        <v>25000000</v>
      </c>
      <c r="F4" s="128">
        <f t="shared" si="1"/>
        <v>23809.523809523809</v>
      </c>
      <c r="G4" s="85">
        <f t="shared" si="2"/>
        <v>19841.269841269841</v>
      </c>
      <c r="H4">
        <f t="shared" si="3"/>
        <v>16534.391534391536</v>
      </c>
      <c r="I4">
        <v>6</v>
      </c>
      <c r="J4">
        <v>601</v>
      </c>
      <c r="N4">
        <v>58.79</v>
      </c>
      <c r="O4" s="94">
        <f>N4*10.764</f>
        <v>632.81556</v>
      </c>
      <c r="P4" s="95">
        <f t="shared" si="4"/>
        <v>696.09711600000003</v>
      </c>
      <c r="Q4" s="95">
        <v>12475000</v>
      </c>
      <c r="R4" s="110">
        <f t="shared" si="5"/>
        <v>19713.48492126205</v>
      </c>
      <c r="S4" s="95">
        <f t="shared" si="6"/>
        <v>17921.349928420044</v>
      </c>
      <c r="T4" s="95"/>
      <c r="U4" s="96"/>
      <c r="V4" s="3"/>
      <c r="W4" s="3"/>
      <c r="X4" s="3"/>
      <c r="Y4" s="3"/>
    </row>
    <row r="5" spans="1:32" x14ac:dyDescent="0.25">
      <c r="A5" t="e">
        <f>#REF!</f>
        <v>#REF!</v>
      </c>
      <c r="B5" s="78">
        <f>C5/1.2</f>
        <v>916.66666666666674</v>
      </c>
      <c r="C5">
        <v>1100</v>
      </c>
      <c r="D5" s="95">
        <f t="shared" ref="D5" si="8">C5*1.2</f>
        <v>1320</v>
      </c>
      <c r="E5" s="95">
        <v>11000000</v>
      </c>
      <c r="F5" s="95">
        <f t="shared" si="1"/>
        <v>11999.999999999998</v>
      </c>
      <c r="G5" s="85">
        <f t="shared" si="2"/>
        <v>10000</v>
      </c>
      <c r="H5">
        <f t="shared" si="3"/>
        <v>8333.3333333333339</v>
      </c>
      <c r="I5">
        <v>5</v>
      </c>
      <c r="J5">
        <v>502</v>
      </c>
      <c r="N5">
        <v>39.5</v>
      </c>
      <c r="O5" s="94">
        <f t="shared" ref="O5:O9" si="9">N5*10.764</f>
        <v>425.178</v>
      </c>
      <c r="P5" s="95">
        <f t="shared" si="4"/>
        <v>467.69580000000002</v>
      </c>
      <c r="Q5" s="95">
        <v>7000000</v>
      </c>
      <c r="R5" s="128">
        <f t="shared" si="5"/>
        <v>16463.692853346129</v>
      </c>
      <c r="S5" s="95">
        <f t="shared" si="6"/>
        <v>14966.993503041935</v>
      </c>
      <c r="T5" s="95"/>
      <c r="U5" s="96"/>
      <c r="V5" s="3"/>
      <c r="W5" s="3"/>
      <c r="X5" s="3"/>
      <c r="Y5" s="3"/>
    </row>
    <row r="6" spans="1:32" x14ac:dyDescent="0.25">
      <c r="A6" t="e">
        <f>#REF!</f>
        <v>#REF!</v>
      </c>
      <c r="B6">
        <v>1050</v>
      </c>
      <c r="C6">
        <f t="shared" ref="C6:D6" si="10">B6*1.2</f>
        <v>1260</v>
      </c>
      <c r="D6" s="95">
        <f t="shared" si="10"/>
        <v>1512</v>
      </c>
      <c r="E6" s="95">
        <v>22500000</v>
      </c>
      <c r="F6" s="128">
        <f t="shared" si="1"/>
        <v>21428.571428571428</v>
      </c>
      <c r="G6" s="85">
        <f t="shared" si="2"/>
        <v>17857.142857142859</v>
      </c>
      <c r="H6">
        <f t="shared" si="3"/>
        <v>14880.952380952382</v>
      </c>
      <c r="I6">
        <v>4</v>
      </c>
      <c r="J6">
        <v>401</v>
      </c>
      <c r="O6" s="94">
        <v>685</v>
      </c>
      <c r="P6" s="95">
        <f t="shared" si="4"/>
        <v>753.50000000000011</v>
      </c>
      <c r="Q6" s="95">
        <v>11500000</v>
      </c>
      <c r="R6" s="95">
        <f t="shared" si="5"/>
        <v>16788.321167883212</v>
      </c>
      <c r="S6" s="95">
        <f t="shared" si="6"/>
        <v>15262.110152621099</v>
      </c>
      <c r="T6" s="95"/>
      <c r="U6" s="96"/>
      <c r="V6" s="3"/>
      <c r="W6" s="3"/>
      <c r="X6" s="3"/>
      <c r="Y6" s="3"/>
    </row>
    <row r="7" spans="1:32" x14ac:dyDescent="0.25">
      <c r="A7" t="e">
        <f>#REF!</f>
        <v>#REF!</v>
      </c>
      <c r="B7">
        <v>650</v>
      </c>
      <c r="C7">
        <f t="shared" ref="C7:D7" si="11">B7*1.2</f>
        <v>780</v>
      </c>
      <c r="D7" s="95">
        <f t="shared" si="11"/>
        <v>936</v>
      </c>
      <c r="E7" s="110">
        <v>13000000</v>
      </c>
      <c r="F7" s="110">
        <f t="shared" ref="F7:F14" si="12">ROUND((E7/B7),0)</f>
        <v>20000</v>
      </c>
      <c r="G7" s="85">
        <f t="shared" si="2"/>
        <v>16666.666666666668</v>
      </c>
      <c r="H7">
        <f t="shared" si="3"/>
        <v>13888.888888888889</v>
      </c>
      <c r="O7" s="94">
        <f t="shared" si="9"/>
        <v>0</v>
      </c>
      <c r="P7" s="95">
        <f t="shared" si="4"/>
        <v>0</v>
      </c>
      <c r="Q7" s="95"/>
      <c r="R7" s="95" t="e">
        <f t="shared" si="5"/>
        <v>#DIV/0!</v>
      </c>
      <c r="S7" s="95" t="e">
        <f t="shared" si="6"/>
        <v>#DIV/0!</v>
      </c>
      <c r="T7" s="95"/>
      <c r="U7" s="96"/>
      <c r="V7" s="3"/>
      <c r="W7" s="3"/>
      <c r="X7" s="3"/>
      <c r="Y7" s="3"/>
    </row>
    <row r="8" spans="1:32" x14ac:dyDescent="0.25">
      <c r="A8" t="e">
        <f>#REF!</f>
        <v>#REF!</v>
      </c>
      <c r="B8">
        <v>625</v>
      </c>
      <c r="C8">
        <f t="shared" ref="C8:D8" si="13">B8*1.2</f>
        <v>750</v>
      </c>
      <c r="D8" s="95">
        <f t="shared" si="13"/>
        <v>900</v>
      </c>
      <c r="E8" s="95">
        <v>12100000</v>
      </c>
      <c r="F8" s="128">
        <f t="shared" si="12"/>
        <v>19360</v>
      </c>
      <c r="G8" s="85">
        <f t="shared" ref="G8:G9" si="14">F8/C8</f>
        <v>25.813333333333333</v>
      </c>
      <c r="H8">
        <f t="shared" ref="H8:H13" si="15">F8/D8</f>
        <v>21.511111111111113</v>
      </c>
      <c r="O8" s="94">
        <f t="shared" si="9"/>
        <v>0</v>
      </c>
      <c r="P8" s="95">
        <f t="shared" si="4"/>
        <v>0</v>
      </c>
      <c r="Q8" s="95"/>
      <c r="R8" s="95" t="e">
        <f t="shared" si="5"/>
        <v>#DIV/0!</v>
      </c>
      <c r="S8" s="95" t="e">
        <f t="shared" si="6"/>
        <v>#DIV/0!</v>
      </c>
      <c r="T8" s="95"/>
      <c r="U8" s="96"/>
      <c r="V8" s="3"/>
      <c r="W8" s="3"/>
      <c r="X8" s="3"/>
      <c r="Y8" s="3"/>
    </row>
    <row r="9" spans="1:32" x14ac:dyDescent="0.25">
      <c r="A9" t="e">
        <f>#REF!</f>
        <v>#REF!</v>
      </c>
      <c r="B9">
        <v>301</v>
      </c>
      <c r="C9">
        <f t="shared" ref="C9:D9" si="16">B9*1.2</f>
        <v>361.2</v>
      </c>
      <c r="D9" s="95">
        <f t="shared" si="16"/>
        <v>433.44</v>
      </c>
      <c r="E9" s="95">
        <v>5000000</v>
      </c>
      <c r="F9" s="128">
        <f t="shared" si="12"/>
        <v>16611</v>
      </c>
      <c r="G9" s="85">
        <f t="shared" si="14"/>
        <v>45.988372093023258</v>
      </c>
      <c r="H9">
        <f t="shared" si="15"/>
        <v>38.323643410852711</v>
      </c>
      <c r="O9" s="94">
        <f t="shared" si="9"/>
        <v>0</v>
      </c>
      <c r="P9" s="95">
        <f t="shared" si="4"/>
        <v>0</v>
      </c>
      <c r="Q9" s="95"/>
      <c r="R9" s="95" t="e">
        <f t="shared" si="5"/>
        <v>#DIV/0!</v>
      </c>
      <c r="S9" s="95"/>
      <c r="T9" s="95"/>
      <c r="U9" s="3"/>
      <c r="V9" s="3"/>
      <c r="W9" s="3"/>
      <c r="X9" s="3"/>
      <c r="Y9" s="3"/>
    </row>
    <row r="10" spans="1:32" ht="16.5" x14ac:dyDescent="0.3">
      <c r="A10" t="e">
        <f>#REF!</f>
        <v>#REF!</v>
      </c>
      <c r="B10">
        <v>450</v>
      </c>
      <c r="C10">
        <f t="shared" ref="C10:D12" si="17">B10*1.2</f>
        <v>540</v>
      </c>
      <c r="D10" s="95">
        <f t="shared" si="17"/>
        <v>648</v>
      </c>
      <c r="E10" s="95">
        <v>8000000</v>
      </c>
      <c r="F10" s="128">
        <f t="shared" si="12"/>
        <v>17778</v>
      </c>
      <c r="G10">
        <f t="shared" ref="G10:G14" si="18">ROUND((E10/C10),0)</f>
        <v>14815</v>
      </c>
      <c r="H10">
        <f t="shared" si="15"/>
        <v>27.435185185185187</v>
      </c>
      <c r="O10" s="95"/>
      <c r="P10" s="95" t="e">
        <f>#REF!*1.1</f>
        <v>#REF!</v>
      </c>
      <c r="Q10" s="95"/>
      <c r="R10" s="95" t="e">
        <f t="shared" si="5"/>
        <v>#DIV/0!</v>
      </c>
      <c r="S10" s="95"/>
      <c r="T10" s="95"/>
      <c r="U10" s="3"/>
      <c r="V10" s="3"/>
      <c r="W10" s="97"/>
      <c r="X10" s="98"/>
      <c r="Y10" s="98"/>
      <c r="Z10" s="29"/>
      <c r="AA10" s="29"/>
      <c r="AB10" s="29"/>
      <c r="AC10" s="29"/>
      <c r="AD10" s="29"/>
    </row>
    <row r="11" spans="1:32" ht="18.75" x14ac:dyDescent="0.25">
      <c r="B11">
        <f>C11/1.2</f>
        <v>708.33333333333337</v>
      </c>
      <c r="C11">
        <v>850</v>
      </c>
      <c r="D11" s="95">
        <f t="shared" si="17"/>
        <v>1020</v>
      </c>
      <c r="E11" s="95">
        <v>16000000</v>
      </c>
      <c r="F11" s="131">
        <f t="shared" si="12"/>
        <v>22588</v>
      </c>
      <c r="G11">
        <f t="shared" si="18"/>
        <v>18824</v>
      </c>
      <c r="H11">
        <f t="shared" si="15"/>
        <v>22.145098039215686</v>
      </c>
      <c r="P11" s="95" t="e">
        <f>#REF!*1.1</f>
        <v>#REF!</v>
      </c>
      <c r="Q11" s="95"/>
      <c r="R11" s="95" t="e">
        <f t="shared" si="5"/>
        <v>#DIV/0!</v>
      </c>
      <c r="S11" s="95"/>
      <c r="T11" s="95"/>
      <c r="U11" s="3"/>
      <c r="V11" s="3"/>
      <c r="W11" s="99"/>
      <c r="X11" s="3"/>
      <c r="Y11" s="3"/>
    </row>
    <row r="12" spans="1:32" x14ac:dyDescent="0.25">
      <c r="A12" t="e">
        <f>#REF!</f>
        <v>#REF!</v>
      </c>
      <c r="B12">
        <v>620</v>
      </c>
      <c r="C12">
        <f t="shared" si="17"/>
        <v>744</v>
      </c>
      <c r="D12" s="95">
        <f t="shared" si="17"/>
        <v>892.8</v>
      </c>
      <c r="E12" s="95">
        <v>13000000</v>
      </c>
      <c r="F12" s="130">
        <f t="shared" si="12"/>
        <v>20968</v>
      </c>
      <c r="G12">
        <f t="shared" si="18"/>
        <v>17473</v>
      </c>
      <c r="H12">
        <f t="shared" si="15"/>
        <v>23.485663082437277</v>
      </c>
      <c r="I12">
        <f t="shared" ref="I12:I14" si="19">U12</f>
        <v>0</v>
      </c>
      <c r="J12">
        <f t="shared" ref="J12:J14" si="20">V12</f>
        <v>0</v>
      </c>
      <c r="P12" s="95" t="e">
        <f>#REF!*1.1</f>
        <v>#REF!</v>
      </c>
      <c r="Q12" s="95"/>
      <c r="R12" s="95" t="e">
        <f t="shared" si="5"/>
        <v>#DIV/0!</v>
      </c>
      <c r="S12" s="95"/>
      <c r="T12" s="95"/>
      <c r="U12" s="3"/>
      <c r="V12" s="3"/>
      <c r="W12" s="3"/>
      <c r="X12" s="3"/>
      <c r="Y12" s="3"/>
    </row>
    <row r="13" spans="1:32" x14ac:dyDescent="0.25">
      <c r="A13" t="e">
        <f>#REF!</f>
        <v>#REF!</v>
      </c>
      <c r="B13">
        <v>750</v>
      </c>
      <c r="C13">
        <f t="shared" ref="C13:D13" si="21">B13*1.2</f>
        <v>900</v>
      </c>
      <c r="D13" s="95">
        <f t="shared" si="21"/>
        <v>1080</v>
      </c>
      <c r="E13" s="95">
        <v>14300000</v>
      </c>
      <c r="F13">
        <f t="shared" si="12"/>
        <v>19067</v>
      </c>
      <c r="G13">
        <f t="shared" si="18"/>
        <v>15889</v>
      </c>
      <c r="H13">
        <f t="shared" si="15"/>
        <v>17.654629629629628</v>
      </c>
      <c r="I13">
        <f t="shared" si="19"/>
        <v>0</v>
      </c>
      <c r="J13">
        <f t="shared" si="20"/>
        <v>0</v>
      </c>
      <c r="S13" s="95"/>
      <c r="T13" s="95"/>
      <c r="U13" s="3"/>
      <c r="V13" s="3"/>
      <c r="W13" s="3"/>
      <c r="X13" s="3"/>
      <c r="Y13" s="3"/>
    </row>
    <row r="14" spans="1:32" x14ac:dyDescent="0.25">
      <c r="A14" t="e">
        <f>#REF!</f>
        <v>#REF!</v>
      </c>
      <c r="B14">
        <v>0</v>
      </c>
      <c r="C14">
        <f t="shared" ref="C14:D14" si="22">B14*1.2</f>
        <v>0</v>
      </c>
      <c r="D14" s="95">
        <f t="shared" si="22"/>
        <v>0</v>
      </c>
      <c r="E14" s="95"/>
      <c r="F14" t="e">
        <f t="shared" si="12"/>
        <v>#DIV/0!</v>
      </c>
      <c r="G14" t="e">
        <f t="shared" si="18"/>
        <v>#DIV/0!</v>
      </c>
      <c r="H14" t="e">
        <f t="shared" ref="H14" si="23">ROUND((E14/D14),0)</f>
        <v>#DIV/0!</v>
      </c>
      <c r="I14">
        <f t="shared" si="19"/>
        <v>0</v>
      </c>
      <c r="J14">
        <f t="shared" si="20"/>
        <v>0</v>
      </c>
      <c r="S14" s="95"/>
      <c r="T14" s="95"/>
      <c r="U14" s="3"/>
      <c r="V14" s="3"/>
      <c r="W14" s="3"/>
      <c r="X14" s="3"/>
      <c r="Y14" s="3"/>
    </row>
    <row r="15" spans="1:32" x14ac:dyDescent="0.25">
      <c r="A15" t="e">
        <f>#REF!</f>
        <v>#REF!</v>
      </c>
      <c r="B15">
        <v>0</v>
      </c>
      <c r="C15">
        <f t="shared" ref="C15:D15" si="24">B15*1.2</f>
        <v>0</v>
      </c>
      <c r="D15" s="95">
        <f t="shared" si="24"/>
        <v>0</v>
      </c>
      <c r="E15" s="95"/>
      <c r="F15" t="e">
        <f t="shared" ref="F15:F18" si="25">ROUND((E15/B15),0)</f>
        <v>#DIV/0!</v>
      </c>
      <c r="G15" t="e">
        <f t="shared" ref="G15:G18" si="26">ROUND((E15/C15),0)</f>
        <v>#DIV/0!</v>
      </c>
      <c r="H15" t="e">
        <f t="shared" ref="H15:H18" si="27">ROUND((E15/D15),0)</f>
        <v>#DIV/0!</v>
      </c>
      <c r="I15">
        <f t="shared" ref="I15:J18" si="28">U15</f>
        <v>0</v>
      </c>
      <c r="J15">
        <f t="shared" si="28"/>
        <v>0</v>
      </c>
      <c r="S15" s="95"/>
      <c r="T15" s="95"/>
      <c r="U15" s="3"/>
      <c r="V15" s="3"/>
      <c r="W15" s="3"/>
      <c r="X15" s="3"/>
      <c r="Y15" s="3"/>
    </row>
    <row r="16" spans="1:32" x14ac:dyDescent="0.25">
      <c r="A16" t="e">
        <f>#REF!</f>
        <v>#REF!</v>
      </c>
      <c r="B16">
        <v>0</v>
      </c>
      <c r="C16">
        <f t="shared" ref="C16:D16" si="29">B16*1.2</f>
        <v>0</v>
      </c>
      <c r="D16" s="95">
        <f t="shared" si="29"/>
        <v>0</v>
      </c>
      <c r="E16" s="95"/>
      <c r="F16" t="e">
        <f t="shared" si="25"/>
        <v>#DIV/0!</v>
      </c>
      <c r="G16" t="e">
        <f t="shared" si="26"/>
        <v>#DIV/0!</v>
      </c>
      <c r="H16" t="e">
        <f t="shared" si="27"/>
        <v>#DIV/0!</v>
      </c>
      <c r="I16">
        <f t="shared" si="28"/>
        <v>0</v>
      </c>
      <c r="J16">
        <f t="shared" si="28"/>
        <v>0</v>
      </c>
      <c r="S16" s="95"/>
      <c r="T16" s="95"/>
    </row>
    <row r="17" spans="1:25" x14ac:dyDescent="0.25">
      <c r="A17" t="e">
        <f>#REF!</f>
        <v>#REF!</v>
      </c>
      <c r="B17">
        <f t="shared" ref="B17:B18" si="30">O17</f>
        <v>0</v>
      </c>
      <c r="C17">
        <f t="shared" ref="C17:D17" si="31">B17*1.2</f>
        <v>0</v>
      </c>
      <c r="D17" s="95">
        <f t="shared" si="31"/>
        <v>0</v>
      </c>
      <c r="E17" s="95"/>
      <c r="F17" t="e">
        <f t="shared" si="25"/>
        <v>#DIV/0!</v>
      </c>
      <c r="G17" t="e">
        <f t="shared" si="26"/>
        <v>#DIV/0!</v>
      </c>
      <c r="H17" t="e">
        <f t="shared" si="27"/>
        <v>#DIV/0!</v>
      </c>
      <c r="I17">
        <f t="shared" si="28"/>
        <v>0</v>
      </c>
      <c r="J17">
        <f t="shared" si="28"/>
        <v>0</v>
      </c>
      <c r="S17" s="95"/>
      <c r="T17" s="95"/>
    </row>
    <row r="18" spans="1:25" x14ac:dyDescent="0.25">
      <c r="A18" t="e">
        <f>#REF!</f>
        <v>#REF!</v>
      </c>
      <c r="B18">
        <f t="shared" si="30"/>
        <v>0</v>
      </c>
      <c r="C18">
        <f t="shared" ref="C18:D18" si="32">B18*1.2</f>
        <v>0</v>
      </c>
      <c r="D18" s="95">
        <f t="shared" si="32"/>
        <v>0</v>
      </c>
      <c r="E18" s="95"/>
      <c r="F18" t="e">
        <f t="shared" si="25"/>
        <v>#DIV/0!</v>
      </c>
      <c r="G18" t="e">
        <f t="shared" si="26"/>
        <v>#DIV/0!</v>
      </c>
      <c r="H18" t="e">
        <f t="shared" si="27"/>
        <v>#DIV/0!</v>
      </c>
      <c r="I18">
        <f t="shared" si="28"/>
        <v>0</v>
      </c>
      <c r="J18">
        <f t="shared" si="28"/>
        <v>0</v>
      </c>
      <c r="S18" s="95"/>
      <c r="T18" s="95"/>
    </row>
    <row r="19" spans="1:25" s="6" customFormat="1" x14ac:dyDescent="0.25">
      <c r="A19" s="85"/>
      <c r="B19" s="85"/>
      <c r="C19">
        <f t="shared" ref="C19:D19" si="33">B19*1.2</f>
        <v>0</v>
      </c>
      <c r="D19" s="95">
        <f t="shared" si="33"/>
        <v>0</v>
      </c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s="6" customFormat="1" x14ac:dyDescent="0.25">
      <c r="A21" s="85"/>
      <c r="B21" s="86"/>
      <c r="C21" s="86"/>
      <c r="D21" s="86"/>
      <c r="E21" s="86"/>
      <c r="F21" s="87" t="s">
        <v>65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s="6" customFormat="1" ht="16.5" x14ac:dyDescent="0.3">
      <c r="A22" s="85"/>
      <c r="B22" s="86"/>
      <c r="C22" s="86" t="s">
        <v>63</v>
      </c>
      <c r="D22" s="86"/>
      <c r="E22" s="101"/>
      <c r="F22" s="88" t="s">
        <v>64</v>
      </c>
      <c r="G22" s="88">
        <v>394</v>
      </c>
      <c r="H22" s="86"/>
      <c r="I22" s="85">
        <f>G22*9500</f>
        <v>3743000</v>
      </c>
      <c r="J22" s="85"/>
      <c r="K22" s="85"/>
      <c r="L22" s="85"/>
      <c r="M22" s="85"/>
      <c r="N22" s="85"/>
      <c r="O22" s="85"/>
    </row>
    <row r="23" spans="1:25" s="6" customFormat="1" x14ac:dyDescent="0.25">
      <c r="A23" s="85"/>
      <c r="B23" s="86"/>
      <c r="C23" s="86" t="s">
        <v>1</v>
      </c>
      <c r="D23" s="86">
        <v>7100000</v>
      </c>
      <c r="E23" s="86"/>
      <c r="F23" s="88" t="s">
        <v>60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</row>
    <row r="24" spans="1:25" s="6" customFormat="1" x14ac:dyDescent="0.25">
      <c r="A24" s="85"/>
      <c r="B24" s="86"/>
      <c r="C24" s="86"/>
      <c r="D24" s="86"/>
      <c r="E24" s="86"/>
      <c r="F24" s="88" t="s">
        <v>66</v>
      </c>
      <c r="G24" s="88">
        <v>0</v>
      </c>
      <c r="H24" s="86"/>
      <c r="I24" s="85"/>
      <c r="J24" s="85"/>
      <c r="K24" s="85"/>
      <c r="L24" s="85"/>
      <c r="M24" s="85"/>
      <c r="N24" s="85"/>
      <c r="O24" s="85"/>
    </row>
    <row r="25" spans="1:25" s="6" customFormat="1" x14ac:dyDescent="0.25">
      <c r="B25" s="86"/>
      <c r="C25" s="86"/>
      <c r="D25" s="86"/>
      <c r="E25" s="86"/>
      <c r="F25" s="89" t="s">
        <v>67</v>
      </c>
      <c r="G25" s="89">
        <f>G22+G23+G24</f>
        <v>394</v>
      </c>
      <c r="H25" s="86"/>
      <c r="I25" s="85"/>
      <c r="J25" s="85"/>
      <c r="K25" s="85"/>
      <c r="L25" s="85"/>
      <c r="M25" s="85"/>
    </row>
    <row r="26" spans="1:25" s="6" customFormat="1" x14ac:dyDescent="0.25">
      <c r="B26" s="86"/>
      <c r="C26" s="86"/>
      <c r="D26" s="86"/>
      <c r="E26" s="86"/>
      <c r="F26" s="88"/>
      <c r="G26" s="88"/>
      <c r="H26" s="86"/>
      <c r="I26" s="85"/>
      <c r="J26" s="85"/>
      <c r="K26" s="85"/>
      <c r="L26" s="85"/>
      <c r="M26" s="85"/>
    </row>
    <row r="27" spans="1:25" s="6" customFormat="1" x14ac:dyDescent="0.25">
      <c r="B27" s="86"/>
      <c r="C27" s="86"/>
      <c r="D27" s="86"/>
      <c r="E27" s="86"/>
      <c r="F27" s="88" t="s">
        <v>59</v>
      </c>
      <c r="G27" s="88">
        <v>0</v>
      </c>
      <c r="H27" s="86"/>
      <c r="I27" s="85" t="e">
        <f>G33/G27</f>
        <v>#DIV/0!</v>
      </c>
      <c r="J27" s="85"/>
      <c r="K27" s="85"/>
      <c r="L27" s="85"/>
      <c r="M27" s="85"/>
    </row>
    <row r="28" spans="1:25" s="6" customFormat="1" x14ac:dyDescent="0.25">
      <c r="B28" s="86"/>
      <c r="C28" s="86"/>
      <c r="D28" s="86"/>
      <c r="E28" s="86"/>
      <c r="F28" s="88" t="s">
        <v>60</v>
      </c>
      <c r="G28" s="88">
        <v>0</v>
      </c>
      <c r="H28" s="86"/>
      <c r="I28" s="85"/>
      <c r="J28" s="85"/>
      <c r="K28" s="85"/>
      <c r="L28" s="85"/>
      <c r="M28" s="85"/>
    </row>
    <row r="29" spans="1:25" s="6" customFormat="1" x14ac:dyDescent="0.25">
      <c r="B29" s="86"/>
      <c r="C29" s="86"/>
      <c r="D29" s="86"/>
      <c r="E29" s="86"/>
      <c r="F29" s="88" t="s">
        <v>58</v>
      </c>
      <c r="G29" s="88">
        <v>0</v>
      </c>
      <c r="H29" s="86"/>
      <c r="I29" s="85"/>
      <c r="J29" s="85"/>
      <c r="K29" s="85"/>
      <c r="L29" s="85"/>
      <c r="M29" s="85"/>
    </row>
    <row r="30" spans="1:25" s="6" customFormat="1" x14ac:dyDescent="0.25">
      <c r="B30" s="86"/>
      <c r="C30" s="90"/>
      <c r="D30" s="90"/>
      <c r="E30" s="86"/>
      <c r="F30" s="89" t="s">
        <v>61</v>
      </c>
      <c r="G30" s="89">
        <f>SUM(G27:G29)</f>
        <v>0</v>
      </c>
      <c r="H30" s="86"/>
      <c r="I30" s="85" t="e">
        <f>I22/G30</f>
        <v>#DIV/0!</v>
      </c>
      <c r="J30" s="85"/>
      <c r="K30" s="85"/>
      <c r="L30" s="85"/>
      <c r="M30" s="85"/>
      <c r="O30" s="41"/>
      <c r="P30" s="41"/>
      <c r="Q30" s="41"/>
      <c r="R30" s="41"/>
    </row>
    <row r="31" spans="1:25" s="6" customFormat="1" x14ac:dyDescent="0.25">
      <c r="B31" s="86"/>
      <c r="C31" s="90"/>
      <c r="D31" s="90"/>
      <c r="E31" s="86"/>
      <c r="F31" s="89" t="s">
        <v>62</v>
      </c>
      <c r="G31" s="88">
        <f>G30</f>
        <v>0</v>
      </c>
      <c r="H31" s="86" t="e">
        <f>G30/G31</f>
        <v>#DIV/0!</v>
      </c>
      <c r="I31" s="85" t="s">
        <v>43</v>
      </c>
      <c r="J31" s="85"/>
      <c r="K31" s="85"/>
      <c r="L31" s="85"/>
      <c r="M31" s="85"/>
    </row>
    <row r="32" spans="1:25" s="6" customFormat="1" x14ac:dyDescent="0.25">
      <c r="B32" s="86"/>
      <c r="C32" s="90"/>
      <c r="D32" s="90"/>
      <c r="E32" s="86"/>
      <c r="F32" s="88" t="s">
        <v>41</v>
      </c>
      <c r="G32" s="88">
        <v>10000</v>
      </c>
      <c r="H32" s="86"/>
      <c r="I32" s="85"/>
      <c r="J32" s="85"/>
      <c r="K32" s="85"/>
      <c r="L32" s="85"/>
      <c r="M32" s="85"/>
    </row>
    <row r="33" spans="2:21" s="6" customFormat="1" x14ac:dyDescent="0.25">
      <c r="B33" s="86"/>
      <c r="C33" s="90"/>
      <c r="D33" s="90"/>
      <c r="E33" s="86"/>
      <c r="F33" s="89" t="s">
        <v>42</v>
      </c>
      <c r="G33" s="89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</row>
    <row r="34" spans="2:21" s="6" customFormat="1" x14ac:dyDescent="0.25">
      <c r="B34" s="86"/>
      <c r="C34" s="90"/>
      <c r="D34" s="90"/>
      <c r="E34" s="86"/>
      <c r="F34" s="89" t="s">
        <v>20</v>
      </c>
      <c r="G34" s="89">
        <f>G33*90%</f>
        <v>3546000</v>
      </c>
      <c r="H34" s="86"/>
      <c r="I34" s="85"/>
      <c r="J34" s="85"/>
      <c r="K34" s="85"/>
      <c r="L34" s="85"/>
      <c r="M34" s="85"/>
    </row>
    <row r="35" spans="2:21" s="6" customFormat="1" x14ac:dyDescent="0.25">
      <c r="B35" s="86"/>
      <c r="C35" s="90"/>
      <c r="D35" s="90"/>
      <c r="E35" s="86"/>
      <c r="F35" s="89" t="s">
        <v>21</v>
      </c>
      <c r="G35" s="89">
        <f>G33*80%</f>
        <v>3152000</v>
      </c>
      <c r="H35" s="86"/>
      <c r="I35" s="85"/>
      <c r="J35" s="85"/>
      <c r="K35" s="85"/>
      <c r="L35" s="85"/>
      <c r="M35" s="85"/>
    </row>
    <row r="36" spans="2:21" x14ac:dyDescent="0.25">
      <c r="B36" s="90"/>
      <c r="C36" s="90"/>
      <c r="D36" s="90"/>
      <c r="E36" s="90"/>
      <c r="F36" s="90"/>
      <c r="G36" s="90"/>
      <c r="H36" s="90"/>
    </row>
    <row r="37" spans="2:21" x14ac:dyDescent="0.25">
      <c r="B37" s="90"/>
      <c r="C37" s="90"/>
      <c r="D37" s="90"/>
      <c r="E37" s="90"/>
      <c r="F37" s="90"/>
      <c r="G37" s="90"/>
      <c r="H37" s="90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90"/>
      <c r="C38" s="90"/>
      <c r="D38" s="90"/>
      <c r="E38" s="90"/>
      <c r="F38" s="90"/>
      <c r="G38" s="90"/>
      <c r="H38" s="90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90"/>
      <c r="C39" s="90"/>
      <c r="D39" s="90"/>
      <c r="E39" s="90"/>
      <c r="F39" s="90"/>
      <c r="G39" s="90"/>
      <c r="H39" s="90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90"/>
      <c r="C40" s="90"/>
      <c r="D40" s="90"/>
      <c r="E40" s="90"/>
      <c r="F40" s="90"/>
      <c r="G40" s="90"/>
      <c r="H40" s="90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90"/>
      <c r="C41" s="90"/>
      <c r="D41" s="90"/>
      <c r="E41" s="90"/>
      <c r="F41" s="90"/>
      <c r="G41" s="90"/>
      <c r="H41" s="90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90"/>
      <c r="C42" s="90"/>
      <c r="D42" s="90"/>
      <c r="E42" s="90"/>
      <c r="F42" s="90"/>
      <c r="G42" s="90"/>
      <c r="H42" s="90"/>
      <c r="N42" s="6"/>
      <c r="O42" s="41"/>
      <c r="P42" s="41"/>
      <c r="Q42" s="41"/>
      <c r="R42" s="41"/>
      <c r="S42" s="6"/>
      <c r="T42" s="6"/>
      <c r="U42" s="6"/>
    </row>
    <row r="43" spans="2:21" x14ac:dyDescent="0.25">
      <c r="B43" s="90"/>
      <c r="C43" s="90"/>
      <c r="D43" s="90"/>
      <c r="E43" s="90"/>
      <c r="F43" s="90"/>
      <c r="G43" s="90"/>
      <c r="H43" s="90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90"/>
      <c r="C44" s="90"/>
      <c r="D44" s="90"/>
      <c r="E44" s="90"/>
      <c r="F44" s="90"/>
      <c r="G44" s="90"/>
      <c r="H44" s="90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41"/>
      <c r="P52" s="41"/>
      <c r="Q52" s="41"/>
      <c r="R52" s="41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31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114" t="s">
        <v>57</v>
      </c>
      <c r="G117" s="114"/>
      <c r="H117" s="114"/>
      <c r="I117" s="114"/>
      <c r="J117" s="114"/>
      <c r="K117" s="114"/>
      <c r="L117" s="114"/>
      <c r="M117" s="114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399" workbookViewId="0">
      <selection activeCell="A384" sqref="A38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O17:Q58"/>
  <sheetViews>
    <sheetView topLeftCell="A43" zoomScale="115" zoomScaleNormal="115" workbookViewId="0">
      <selection activeCell="A131" sqref="A131"/>
    </sheetView>
  </sheetViews>
  <sheetFormatPr defaultRowHeight="15" x14ac:dyDescent="0.25"/>
  <sheetData>
    <row r="17" spans="16:17" x14ac:dyDescent="0.25">
      <c r="P17" t="s">
        <v>75</v>
      </c>
      <c r="Q17">
        <v>3</v>
      </c>
    </row>
    <row r="58" spans="15:16" x14ac:dyDescent="0.25">
      <c r="O58" t="s">
        <v>75</v>
      </c>
      <c r="P58">
        <v>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2025-02-06T06:08:03Z</dcterms:modified>
</cp:coreProperties>
</file>