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filterPrivacy="1" defaultThemeVersion="124226"/>
  <xr:revisionPtr revIDLastSave="0" documentId="13_ncr:1_{EC6D893E-A937-43BB-8E17-790835FFAFA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al" sheetId="1" r:id="rId1"/>
    <sheet name="20-20" sheetId="11" r:id="rId2"/>
    <sheet name="Rate" sheetId="12" r:id="rId3"/>
    <sheet name="2025 Agm Page" sheetId="14" r:id="rId4"/>
    <sheet name="Old Area page" sheetId="10" r:id="rId5"/>
    <sheet name="RR" sheetId="13" r:id="rId6"/>
  </sheets>
  <externalReferences>
    <externalReference r:id="rId7"/>
  </externalReferences>
  <calcPr calcId="191029"/>
</workbook>
</file>

<file path=xl/calcChain.xml><?xml version="1.0" encoding="utf-8"?>
<calcChain xmlns="http://schemas.openxmlformats.org/spreadsheetml/2006/main">
  <c r="D35" i="1" l="1"/>
  <c r="D37" i="1" s="1"/>
  <c r="D29" i="1"/>
  <c r="D36" i="1" l="1"/>
  <c r="C13" i="11" l="1"/>
  <c r="B12" i="11"/>
  <c r="F12" i="11" s="1"/>
  <c r="B10" i="11"/>
  <c r="C9" i="11"/>
  <c r="I9" i="1"/>
  <c r="N35" i="11"/>
  <c r="O5" i="11"/>
  <c r="P5" i="11"/>
  <c r="O6" i="11"/>
  <c r="P6" i="11"/>
  <c r="O7" i="11"/>
  <c r="P7" i="11"/>
  <c r="O8" i="11"/>
  <c r="P8" i="11"/>
  <c r="O9" i="11"/>
  <c r="P9" i="11"/>
  <c r="O10" i="11"/>
  <c r="P10" i="11"/>
  <c r="O11" i="11"/>
  <c r="P11" i="11"/>
  <c r="P4" i="11"/>
  <c r="O4" i="11"/>
  <c r="M4" i="11"/>
  <c r="L4" i="11"/>
  <c r="N28" i="11" l="1"/>
  <c r="O25" i="11"/>
  <c r="N27" i="11"/>
  <c r="B20" i="1"/>
  <c r="D14" i="1"/>
  <c r="C8" i="11"/>
  <c r="C7" i="11"/>
  <c r="D7" i="11" s="1"/>
  <c r="D6" i="11"/>
  <c r="D9" i="11"/>
  <c r="D10" i="11"/>
  <c r="B6" i="11"/>
  <c r="B5" i="11"/>
  <c r="C3" i="11"/>
  <c r="B2" i="11"/>
  <c r="B7" i="1" l="1"/>
  <c r="O2" i="11" l="1"/>
  <c r="L2" i="11"/>
  <c r="P2" i="11"/>
  <c r="M2" i="11"/>
  <c r="F10" i="11"/>
  <c r="G7" i="11"/>
  <c r="F7" i="11"/>
  <c r="F6" i="11"/>
  <c r="F3" i="11"/>
  <c r="F4" i="11"/>
  <c r="F5" i="11"/>
  <c r="G6" i="11"/>
  <c r="F8" i="11"/>
  <c r="G10" i="11"/>
  <c r="H10" i="11"/>
  <c r="F11" i="11"/>
  <c r="F13" i="11"/>
  <c r="G13" i="11"/>
  <c r="H3" i="11"/>
  <c r="C4" i="11"/>
  <c r="D4" i="11" s="1"/>
  <c r="H4" i="11" s="1"/>
  <c r="G5" i="11"/>
  <c r="H6" i="11"/>
  <c r="H7" i="11"/>
  <c r="G8" i="11"/>
  <c r="G9" i="11"/>
  <c r="C11" i="11"/>
  <c r="D11" i="11" s="1"/>
  <c r="H11" i="11" s="1"/>
  <c r="D12" i="11"/>
  <c r="H12" i="11" s="1"/>
  <c r="D13" i="11"/>
  <c r="H13" i="11" s="1"/>
  <c r="C14" i="11"/>
  <c r="D14" i="11"/>
  <c r="G2" i="11"/>
  <c r="F2" i="11"/>
  <c r="D2" i="11"/>
  <c r="H2" i="11" s="1"/>
  <c r="G11" i="11" l="1"/>
  <c r="D5" i="11"/>
  <c r="H5" i="11" s="1"/>
  <c r="G4" i="11"/>
  <c r="G12" i="11"/>
  <c r="H9" i="11"/>
  <c r="H8" i="11"/>
  <c r="G3" i="11"/>
  <c r="H3" i="1"/>
  <c r="H4" i="1" s="1"/>
  <c r="B16" i="1"/>
  <c r="B10" i="1"/>
  <c r="B5" i="1"/>
  <c r="B6" i="1" s="1"/>
  <c r="F24" i="1" l="1"/>
  <c r="B11" i="1"/>
  <c r="B12" i="1" s="1"/>
  <c r="B13" i="1" s="1"/>
  <c r="B17" i="1" s="1"/>
  <c r="B21" i="1" s="1"/>
  <c r="B19" i="1" l="1"/>
  <c r="B18" i="1"/>
  <c r="D31" i="1" l="1"/>
  <c r="D30" i="1"/>
</calcChain>
</file>

<file path=xl/sharedStrings.xml><?xml version="1.0" encoding="utf-8"?>
<sst xmlns="http://schemas.openxmlformats.org/spreadsheetml/2006/main" count="66" uniqueCount="50">
  <si>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</si>
  <si>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</si>
  <si>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</si>
  <si>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</si>
  <si>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</si>
  <si>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</si>
  <si>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</si>
  <si>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</si>
  <si>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</si>
  <si>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</si>
  <si>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Value</t>
  </si>
  <si>
    <t>IV</t>
  </si>
  <si>
    <t>Rental Value</t>
  </si>
  <si>
    <t>Carpet area</t>
  </si>
  <si>
    <t>RV</t>
  </si>
  <si>
    <t>DV</t>
  </si>
  <si>
    <t xml:space="preserve">                </t>
  </si>
  <si>
    <t>Cosmos</t>
  </si>
  <si>
    <t>Depreciation (100-10)X49/60</t>
  </si>
  <si>
    <t>Sq. M.</t>
  </si>
  <si>
    <t>Sq. Ft.</t>
  </si>
  <si>
    <t>As per Agreement</t>
  </si>
  <si>
    <t>CA</t>
  </si>
  <si>
    <t>BUA (20%)</t>
  </si>
  <si>
    <t>Vijayalakshmi Mahale</t>
  </si>
  <si>
    <t>FMV</t>
  </si>
  <si>
    <t>Sr. No.</t>
  </si>
  <si>
    <t>Built up area (20%)</t>
  </si>
  <si>
    <t>Saleable area (20 + 20%)</t>
  </si>
  <si>
    <t>Rate on Carpet area</t>
  </si>
  <si>
    <t>Rate on Built up  area (20%)</t>
  </si>
  <si>
    <t>Rate on Saleable area (20 + 20%)</t>
  </si>
  <si>
    <t>Floor</t>
  </si>
  <si>
    <t>CA Rate</t>
  </si>
  <si>
    <t>BUA Rate</t>
  </si>
  <si>
    <t>Flat No / Shop</t>
  </si>
  <si>
    <t>C16</t>
  </si>
  <si>
    <t>OC</t>
  </si>
  <si>
    <t>CB - Dadar East) - Vijayalakshmi Mahale - shop No - s- 32, Ground floor, Adinath tower, H wing, Dahisar</t>
  </si>
  <si>
    <t>Lead No. 14055</t>
  </si>
  <si>
    <t>Wing - H</t>
  </si>
  <si>
    <t>Bldg 1</t>
  </si>
  <si>
    <t xml:space="preserve">Shop </t>
  </si>
  <si>
    <t>89/416</t>
  </si>
  <si>
    <t>Zone</t>
  </si>
  <si>
    <t>CB (Dadar East) (Shop-32)</t>
  </si>
  <si>
    <t>page</t>
  </si>
  <si>
    <t>Year</t>
  </si>
  <si>
    <t>Draft agm</t>
  </si>
  <si>
    <t>CB (Dadar East) Flat -G3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</si>
</sst>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_-* #,##0.00_-;\-* #,##0.00_-;_-* &quot;-&quot;??_-;_-@_-"/>
    <numFmt numFmtId="165" formatCode="_(* #,##0.00_);_(* \(#,##0.00\);_(* &quot;-&quot;??_);_(@_)"/>
    <numFmt numFmtId="166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Arial Narrow"/>
      <family val="2"/>
    </font>
    <font>
      <sz val="14"/>
      <color theme="1"/>
      <name val="Arial Narrow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FFFF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</cellStyleXfs>
  <cellXfs count="58">
    <xf numFmtId="0" fontId="0" fillId="0" borderId="0" xfId="0"/>
    <xf numFmtId="0" fontId="0" fillId="0" borderId="3" xfId="0" applyBorder="1"/>
    <xf numFmtId="43" fontId="0" fillId="0" borderId="0" xfId="0" applyNumberFormat="1"/>
    <xf numFmtId="0" fontId="2" fillId="0" borderId="0" xfId="2" applyFill="1" applyBorder="1" applyAlignment="1" applyProtection="1"/>
    <xf numFmtId="0" fontId="5" fillId="2" borderId="0" xfId="0" applyFont="1" applyFill="1"/>
    <xf numFmtId="0" fontId="0" fillId="2" borderId="0" xfId="0" applyFill="1"/>
    <xf numFmtId="0" fontId="5" fillId="0" borderId="0" xfId="0" applyFont="1" applyAlignment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/>
    <xf numFmtId="0" fontId="5" fillId="2" borderId="0" xfId="0" applyFont="1" applyFill="1" applyAlignment="1">
      <alignment horizontal="center" vertical="center"/>
    </xf>
    <xf numFmtId="2" fontId="5" fillId="2" borderId="0" xfId="0" applyNumberFormat="1" applyFont="1" applyFill="1" applyAlignment="1">
      <alignment horizontal="center"/>
    </xf>
    <xf numFmtId="1" fontId="5" fillId="2" borderId="0" xfId="0" applyNumberFormat="1" applyFont="1" applyFill="1" applyAlignment="1">
      <alignment horizontal="center"/>
    </xf>
    <xf numFmtId="43" fontId="6" fillId="0" borderId="1" xfId="1" applyFont="1" applyFill="1" applyBorder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1" fontId="0" fillId="0" borderId="0" xfId="0" applyNumberFormat="1"/>
    <xf numFmtId="0" fontId="7" fillId="2" borderId="0" xfId="0" applyFont="1" applyFill="1"/>
    <xf numFmtId="0" fontId="8" fillId="2" borderId="0" xfId="0" applyFont="1" applyFill="1"/>
    <xf numFmtId="43" fontId="7" fillId="2" borderId="0" xfId="1" applyFont="1" applyFill="1"/>
    <xf numFmtId="0" fontId="0" fillId="3" borderId="0" xfId="0" applyFill="1"/>
    <xf numFmtId="1" fontId="9" fillId="2" borderId="0" xfId="0" applyNumberFormat="1" applyFont="1" applyFill="1"/>
    <xf numFmtId="0" fontId="9" fillId="2" borderId="0" xfId="0" applyFont="1" applyFill="1"/>
    <xf numFmtId="43" fontId="9" fillId="2" borderId="0" xfId="0" applyNumberFormat="1" applyFont="1" applyFill="1"/>
    <xf numFmtId="0" fontId="0" fillId="4" borderId="0" xfId="0" applyFill="1"/>
    <xf numFmtId="43" fontId="0" fillId="4" borderId="0" xfId="1" applyFont="1" applyFill="1"/>
    <xf numFmtId="1" fontId="0" fillId="4" borderId="0" xfId="0" applyNumberFormat="1" applyFill="1"/>
    <xf numFmtId="43" fontId="0" fillId="4" borderId="0" xfId="0" applyNumberFormat="1" applyFill="1"/>
    <xf numFmtId="4" fontId="0" fillId="4" borderId="0" xfId="0" applyNumberFormat="1" applyFill="1"/>
    <xf numFmtId="43" fontId="3" fillId="0" borderId="1" xfId="0" applyNumberFormat="1" applyFont="1" applyBorder="1"/>
    <xf numFmtId="43" fontId="4" fillId="0" borderId="1" xfId="0" applyNumberFormat="1" applyFont="1" applyBorder="1" applyAlignment="1">
      <alignment horizontal="center"/>
    </xf>
    <xf numFmtId="10" fontId="3" fillId="0" borderId="1" xfId="1" applyNumberFormat="1" applyFont="1" applyFill="1" applyBorder="1"/>
    <xf numFmtId="43" fontId="3" fillId="0" borderId="1" xfId="1" applyFont="1" applyFill="1" applyBorder="1"/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3" fillId="0" borderId="1" xfId="1" applyNumberFormat="1" applyFont="1" applyFill="1" applyBorder="1"/>
    <xf numFmtId="0" fontId="3" fillId="0" borderId="1" xfId="1" applyNumberFormat="1" applyFont="1" applyFill="1" applyBorder="1" applyAlignment="1">
      <alignment wrapText="1"/>
    </xf>
    <xf numFmtId="0" fontId="0" fillId="0" borderId="1" xfId="0" applyBorder="1"/>
    <xf numFmtId="0" fontId="3" fillId="0" borderId="1" xfId="0" applyFont="1" applyBorder="1"/>
    <xf numFmtId="43" fontId="4" fillId="0" borderId="1" xfId="0" applyNumberFormat="1" applyFont="1" applyBorder="1"/>
    <xf numFmtId="164" fontId="0" fillId="0" borderId="1" xfId="0" applyNumberFormat="1" applyBorder="1"/>
    <xf numFmtId="165" fontId="0" fillId="0" borderId="1" xfId="0" applyNumberFormat="1" applyBorder="1"/>
    <xf numFmtId="0" fontId="0" fillId="0" borderId="2" xfId="0" applyBorder="1"/>
    <xf numFmtId="0" fontId="3" fillId="0" borderId="1" xfId="0" applyFont="1" applyBorder="1" applyAlignment="1">
      <alignment wrapText="1"/>
    </xf>
    <xf numFmtId="0" fontId="4" fillId="0" borderId="1" xfId="0" applyFont="1" applyBorder="1"/>
    <xf numFmtId="0" fontId="11" fillId="0" borderId="0" xfId="0" applyFont="1"/>
    <xf numFmtId="0" fontId="10" fillId="0" borderId="4" xfId="0" applyFont="1" applyBorder="1" applyAlignment="1">
      <alignment horizontal="center"/>
    </xf>
    <xf numFmtId="166" fontId="0" fillId="0" borderId="0" xfId="0" applyNumberFormat="1"/>
    <xf numFmtId="43" fontId="12" fillId="0" borderId="1" xfId="0" applyNumberFormat="1" applyFont="1" applyBorder="1"/>
    <xf numFmtId="0" fontId="13" fillId="0" borderId="0" xfId="0" applyFont="1"/>
    <xf numFmtId="4" fontId="13" fillId="0" borderId="0" xfId="0" applyNumberFormat="1" applyFont="1"/>
    <xf numFmtId="0" fontId="13" fillId="0" borderId="0" xfId="0" applyFont="1" applyAlignment="1">
      <alignment horizontal="center"/>
    </xf>
    <xf numFmtId="0" fontId="0" fillId="4" borderId="0" xfId="0" applyFill="1" applyAlignment="1">
      <alignment horizontal="center"/>
    </xf>
    <xf numFmtId="3" fontId="0" fillId="0" borderId="0" xfId="0" applyNumberFormat="1"/>
    <xf numFmtId="3" fontId="14" fillId="2" borderId="0" xfId="0" applyNumberFormat="1" applyFont="1" applyFill="1" applyAlignment="1">
      <alignment horizontal="center"/>
    </xf>
    <xf numFmtId="0" fontId="15" fillId="4" borderId="0" xfId="0" applyFont="1" applyFill="1"/>
    <xf numFmtId="1" fontId="15" fillId="0" borderId="0" xfId="0" applyNumberFormat="1" applyFont="1"/>
    <xf numFmtId="43" fontId="0" fillId="2" borderId="0" xfId="0" applyNumberFormat="1" applyFill="1"/>
    <xf numFmtId="0" fontId="6" fillId="0" borderId="1" xfId="0" applyFont="1" applyBorder="1" applyAlignment="1">
      <alignment horizontal="center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3.png"/><Relationship Id="rId2" Type="http://schemas.openxmlformats.org/officeDocument/2006/relationships/image" Target="../media/image12.png"/><Relationship Id="rId1" Type="http://schemas.openxmlformats.org/officeDocument/2006/relationships/image" Target="../media/image11.png"/><Relationship Id="rId4" Type="http://schemas.openxmlformats.org/officeDocument/2006/relationships/image" Target="../media/image1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7.png"/><Relationship Id="rId2" Type="http://schemas.openxmlformats.org/officeDocument/2006/relationships/image" Target="../media/image16.png"/><Relationship Id="rId1" Type="http://schemas.openxmlformats.org/officeDocument/2006/relationships/image" Target="../media/image15.png"/><Relationship Id="rId6" Type="http://schemas.openxmlformats.org/officeDocument/2006/relationships/image" Target="../media/image20.png"/><Relationship Id="rId5" Type="http://schemas.openxmlformats.org/officeDocument/2006/relationships/image" Target="../media/image19.png"/><Relationship Id="rId4" Type="http://schemas.openxmlformats.org/officeDocument/2006/relationships/image" Target="../media/image18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242</xdr:row>
      <xdr:rowOff>0</xdr:rowOff>
    </xdr:from>
    <xdr:to>
      <xdr:col>14</xdr:col>
      <xdr:colOff>325086</xdr:colOff>
      <xdr:row>281</xdr:row>
      <xdr:rowOff>162985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3FDF7104-2D61-890D-F9D6-482A2DB93A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6101000"/>
          <a:ext cx="8859486" cy="759248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284</xdr:row>
      <xdr:rowOff>0</xdr:rowOff>
    </xdr:from>
    <xdr:to>
      <xdr:col>11</xdr:col>
      <xdr:colOff>362936</xdr:colOff>
      <xdr:row>326</xdr:row>
      <xdr:rowOff>77327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A5F87717-B9E6-9F3D-BA2A-42297A211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54102000"/>
          <a:ext cx="7068536" cy="80783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328</xdr:row>
      <xdr:rowOff>0</xdr:rowOff>
    </xdr:from>
    <xdr:to>
      <xdr:col>11</xdr:col>
      <xdr:colOff>334357</xdr:colOff>
      <xdr:row>368</xdr:row>
      <xdr:rowOff>20116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15CA1E5C-8876-58B6-8455-60ECAFC3AA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62484000"/>
          <a:ext cx="7039957" cy="764011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370</xdr:row>
      <xdr:rowOff>0</xdr:rowOff>
    </xdr:from>
    <xdr:to>
      <xdr:col>14</xdr:col>
      <xdr:colOff>487034</xdr:colOff>
      <xdr:row>410</xdr:row>
      <xdr:rowOff>86801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86EE58F9-8AFF-40F2-C759-A70EF8F2CA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70485000"/>
          <a:ext cx="9021434" cy="770680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413</xdr:row>
      <xdr:rowOff>0</xdr:rowOff>
    </xdr:from>
    <xdr:to>
      <xdr:col>14</xdr:col>
      <xdr:colOff>220297</xdr:colOff>
      <xdr:row>454</xdr:row>
      <xdr:rowOff>20143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63A873F3-ABD7-5EC2-118B-BCF00FD8EA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78676500"/>
          <a:ext cx="8754697" cy="783064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455</xdr:row>
      <xdr:rowOff>0</xdr:rowOff>
    </xdr:from>
    <xdr:to>
      <xdr:col>14</xdr:col>
      <xdr:colOff>420350</xdr:colOff>
      <xdr:row>494</xdr:row>
      <xdr:rowOff>172511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657057F-5236-B2BD-6722-05DBFD2574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86677500"/>
          <a:ext cx="8954750" cy="760201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497</xdr:row>
      <xdr:rowOff>0</xdr:rowOff>
    </xdr:from>
    <xdr:to>
      <xdr:col>14</xdr:col>
      <xdr:colOff>477508</xdr:colOff>
      <xdr:row>537</xdr:row>
      <xdr:rowOff>77274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54D94C4-C41C-733C-595A-4A35A90821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94678500"/>
          <a:ext cx="9011908" cy="76972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539</xdr:row>
      <xdr:rowOff>0</xdr:rowOff>
    </xdr:from>
    <xdr:to>
      <xdr:col>14</xdr:col>
      <xdr:colOff>458455</xdr:colOff>
      <xdr:row>579</xdr:row>
      <xdr:rowOff>67748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4840A8C-64BB-EF03-4538-D19758F1C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02679500"/>
          <a:ext cx="8992855" cy="768774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581</xdr:row>
      <xdr:rowOff>0</xdr:rowOff>
    </xdr:from>
    <xdr:to>
      <xdr:col>14</xdr:col>
      <xdr:colOff>448929</xdr:colOff>
      <xdr:row>620</xdr:row>
      <xdr:rowOff>39142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F942D1EC-C451-576C-9A56-95AFA11B54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10680500"/>
          <a:ext cx="8983329" cy="746864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622</xdr:row>
      <xdr:rowOff>0</xdr:rowOff>
    </xdr:from>
    <xdr:to>
      <xdr:col>14</xdr:col>
      <xdr:colOff>163139</xdr:colOff>
      <xdr:row>662</xdr:row>
      <xdr:rowOff>39169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AAA6AC6D-864C-EF8A-2AD7-70ED7FAEBA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118491000"/>
          <a:ext cx="8697539" cy="765916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153442</xdr:colOff>
      <xdr:row>41</xdr:row>
      <xdr:rowOff>115406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C1BB85D-56C3-5204-526B-6936DEC222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468642" cy="79259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42</xdr:row>
      <xdr:rowOff>0</xdr:rowOff>
    </xdr:from>
    <xdr:to>
      <xdr:col>12</xdr:col>
      <xdr:colOff>115337</xdr:colOff>
      <xdr:row>81</xdr:row>
      <xdr:rowOff>134406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75925A7-742C-CF7B-0D1E-32D1C3B80C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001000"/>
          <a:ext cx="7430537" cy="75639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85</xdr:row>
      <xdr:rowOff>0</xdr:rowOff>
    </xdr:from>
    <xdr:to>
      <xdr:col>12</xdr:col>
      <xdr:colOff>29600</xdr:colOff>
      <xdr:row>124</xdr:row>
      <xdr:rowOff>124879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BE79665-0C75-90C3-B4F1-D5D1B8E7B4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6192500"/>
          <a:ext cx="7344800" cy="755437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127</xdr:row>
      <xdr:rowOff>0</xdr:rowOff>
    </xdr:from>
    <xdr:to>
      <xdr:col>12</xdr:col>
      <xdr:colOff>153442</xdr:colOff>
      <xdr:row>154</xdr:row>
      <xdr:rowOff>162665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F82A0B21-78ED-8E5C-2409-941B7BF254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4193500"/>
          <a:ext cx="7468642" cy="530616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146</xdr:row>
      <xdr:rowOff>0</xdr:rowOff>
    </xdr:from>
    <xdr:to>
      <xdr:col>13</xdr:col>
      <xdr:colOff>220212</xdr:colOff>
      <xdr:row>188</xdr:row>
      <xdr:rowOff>67801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69DEB82C-F960-4FD1-8BFC-8C45A9DF50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7813000"/>
          <a:ext cx="8145012" cy="806880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103</xdr:row>
      <xdr:rowOff>57150</xdr:rowOff>
    </xdr:from>
    <xdr:to>
      <xdr:col>7</xdr:col>
      <xdr:colOff>543596</xdr:colOff>
      <xdr:row>143</xdr:row>
      <xdr:rowOff>86793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72AD8EDC-84DB-E27A-6F1A-5FA929ED4B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9678650"/>
          <a:ext cx="4810796" cy="764964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69</xdr:row>
      <xdr:rowOff>9525</xdr:rowOff>
    </xdr:from>
    <xdr:to>
      <xdr:col>12</xdr:col>
      <xdr:colOff>305864</xdr:colOff>
      <xdr:row>102</xdr:row>
      <xdr:rowOff>38981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F512E64D-6A9E-1355-F11F-9BD525CA15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3154025"/>
          <a:ext cx="7621064" cy="631595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515188</xdr:colOff>
      <xdr:row>34</xdr:row>
      <xdr:rowOff>172378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82B58B99-AD3C-B5DD-DA88-1C5A8BD9EC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6001588" cy="664937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37</xdr:row>
      <xdr:rowOff>0</xdr:rowOff>
    </xdr:from>
    <xdr:to>
      <xdr:col>9</xdr:col>
      <xdr:colOff>534240</xdr:colOff>
      <xdr:row>46</xdr:row>
      <xdr:rowOff>66944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D7496979-18D4-8651-CB4E-A4CA5E6FB9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7048500"/>
          <a:ext cx="6020640" cy="192431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48</xdr:row>
      <xdr:rowOff>0</xdr:rowOff>
    </xdr:from>
    <xdr:to>
      <xdr:col>14</xdr:col>
      <xdr:colOff>53581</xdr:colOff>
      <xdr:row>90</xdr:row>
      <xdr:rowOff>77327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0F1FF17-B7C9-E646-5BDD-E370DAA10F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9286875"/>
          <a:ext cx="8554644" cy="807832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17</xdr:col>
      <xdr:colOff>201414</xdr:colOff>
      <xdr:row>43</xdr:row>
      <xdr:rowOff>86920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811A091-9C02-FD42-0A03-D242767ED2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0"/>
          <a:ext cx="9955014" cy="8564170"/>
        </a:xfrm>
        <a:prstGeom prst="rect">
          <a:avLst/>
        </a:prstGeom>
      </xdr:spPr>
    </xdr:pic>
    <xdr:clientData/>
  </xdr:twoCellAnchor>
  <xdr:twoCellAnchor>
    <xdr:from>
      <xdr:col>14</xdr:col>
      <xdr:colOff>123826</xdr:colOff>
      <xdr:row>35</xdr:row>
      <xdr:rowOff>95250</xdr:rowOff>
    </xdr:from>
    <xdr:to>
      <xdr:col>15</xdr:col>
      <xdr:colOff>104776</xdr:colOff>
      <xdr:row>38</xdr:row>
      <xdr:rowOff>28575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85A4A7CF-DBEB-3C1F-FBA0-B9A9EDF98461}"/>
            </a:ext>
          </a:extLst>
        </xdr:cNvPr>
        <xdr:cNvSpPr/>
      </xdr:nvSpPr>
      <xdr:spPr>
        <a:xfrm>
          <a:off x="8658226" y="6762750"/>
          <a:ext cx="590550" cy="504825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IN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Cosmos%20Bank\Dadar%20East\Vijayalakshmi%20Mahale\Vijayalakshmi%20Mahale%20-Flat\Cosmos%20(Flat).xlsx" TargetMode="External"/><Relationship Id="rId1" Type="http://schemas.openxmlformats.org/officeDocument/2006/relationships/externalLinkPath" Target="/Cosmos%20Bank/Dadar%20East/Vijayalakshmi%20Mahale/Vijayalakshmi%20Mahale%20-Flat/Cosmos%20(Flat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al"/>
      <sheetName val="New Area Page"/>
      <sheetName val="Old Area page"/>
      <sheetName val="20-20"/>
      <sheetName val="Rate"/>
      <sheetName val="RR"/>
    </sheetNames>
    <sheetDataSet>
      <sheetData sheetId="0">
        <row r="29">
          <cell r="E29">
            <v>8831304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3"/>
  <sheetViews>
    <sheetView tabSelected="1" zoomScale="130" zoomScaleNormal="130" workbookViewId="0">
      <selection activeCell="H3" sqref="H3"/>
    </sheetView>
  </sheetViews>
  <sheetFormatPr defaultRowHeight="15" x14ac:dyDescent="0.25"/>
  <cols>
    <col min="1" max="1" width="21.7109375" bestFit="1" customWidth="1"/>
    <col min="2" max="2" width="21.140625" customWidth="1"/>
    <col min="3" max="3" width="11.28515625" customWidth="1"/>
    <col min="4" max="4" width="22.85546875" customWidth="1"/>
    <col min="5" max="6" width="21.7109375" bestFit="1" customWidth="1"/>
    <col min="7" max="7" width="8.28515625" customWidth="1"/>
    <col min="8" max="8" width="10.42578125" customWidth="1"/>
    <col min="9" max="9" width="13.7109375" bestFit="1" customWidth="1"/>
    <col min="10" max="10" width="20.28515625" bestFit="1" customWidth="1"/>
    <col min="11" max="11" width="11.42578125" bestFit="1" customWidth="1"/>
    <col min="12" max="12" width="12.42578125" bestFit="1" customWidth="1"/>
    <col min="13" max="13" width="14.28515625" bestFit="1" customWidth="1"/>
    <col min="14" max="14" width="11.5703125" bestFit="1" customWidth="1"/>
    <col min="15" max="15" width="11.42578125" bestFit="1" customWidth="1"/>
  </cols>
  <sheetData>
    <row r="1" spans="1:9" ht="21" x14ac:dyDescent="0.35">
      <c r="A1" s="41"/>
      <c r="B1" s="45"/>
      <c r="H1" s="1"/>
    </row>
    <row r="2" spans="1:9" ht="16.5" x14ac:dyDescent="0.3">
      <c r="A2" s="37"/>
      <c r="B2" s="32" t="s">
        <v>17</v>
      </c>
      <c r="C2" s="33"/>
      <c r="E2" s="5"/>
      <c r="F2" s="5"/>
      <c r="G2" s="6" t="s">
        <v>19</v>
      </c>
      <c r="H2" s="7" t="s">
        <v>20</v>
      </c>
    </row>
    <row r="3" spans="1:9" ht="18.75" x14ac:dyDescent="0.3">
      <c r="A3" s="37" t="s">
        <v>0</v>
      </c>
      <c r="B3" s="34">
        <v>2025</v>
      </c>
      <c r="C3" s="28"/>
      <c r="E3" s="8" t="s">
        <v>21</v>
      </c>
      <c r="F3" s="7" t="s">
        <v>22</v>
      </c>
      <c r="G3" s="10">
        <v>28</v>
      </c>
      <c r="H3" s="11">
        <f>G3*10.764</f>
        <v>301.392</v>
      </c>
    </row>
    <row r="4" spans="1:9" ht="33" x14ac:dyDescent="0.3">
      <c r="A4" s="42" t="s">
        <v>1</v>
      </c>
      <c r="B4" s="34">
        <v>2007</v>
      </c>
      <c r="C4" s="29" t="s">
        <v>37</v>
      </c>
      <c r="E4" s="9"/>
      <c r="F4" s="7" t="s">
        <v>23</v>
      </c>
      <c r="G4" s="10"/>
      <c r="H4" s="11">
        <f>H3*1.2</f>
        <v>361.67039999999997</v>
      </c>
    </row>
    <row r="5" spans="1:9" ht="16.5" x14ac:dyDescent="0.3">
      <c r="A5" s="37" t="s">
        <v>2</v>
      </c>
      <c r="B5" s="35">
        <f>B3-B4</f>
        <v>18</v>
      </c>
      <c r="C5" s="36"/>
      <c r="H5" s="1"/>
    </row>
    <row r="6" spans="1:9" ht="16.5" x14ac:dyDescent="0.3">
      <c r="A6" s="37" t="s">
        <v>3</v>
      </c>
      <c r="B6" s="34">
        <f>60-B5</f>
        <v>42</v>
      </c>
      <c r="C6" s="36"/>
      <c r="H6" s="1"/>
    </row>
    <row r="7" spans="1:9" ht="16.5" x14ac:dyDescent="0.3">
      <c r="A7" s="37" t="s">
        <v>4</v>
      </c>
      <c r="B7" s="28">
        <f>362*2800</f>
        <v>1013600</v>
      </c>
      <c r="C7" s="36"/>
      <c r="H7" s="1"/>
    </row>
    <row r="8" spans="1:9" ht="16.5" x14ac:dyDescent="0.3">
      <c r="A8" s="37" t="s">
        <v>5</v>
      </c>
      <c r="B8" s="37"/>
      <c r="C8" s="36"/>
      <c r="H8" s="1"/>
    </row>
    <row r="9" spans="1:9" ht="16.5" x14ac:dyDescent="0.3">
      <c r="A9" s="37" t="s">
        <v>6</v>
      </c>
      <c r="B9" s="37"/>
      <c r="C9" s="36"/>
      <c r="H9" s="1"/>
      <c r="I9" s="15">
        <f>H3+409</f>
        <v>710.39200000000005</v>
      </c>
    </row>
    <row r="10" spans="1:9" ht="33" x14ac:dyDescent="0.3">
      <c r="A10" s="42" t="s">
        <v>18</v>
      </c>
      <c r="B10" s="37">
        <f>100-10</f>
        <v>90</v>
      </c>
      <c r="C10" s="36"/>
      <c r="F10" s="15"/>
      <c r="H10" s="1"/>
    </row>
    <row r="11" spans="1:9" ht="16.5" x14ac:dyDescent="0.3">
      <c r="A11" s="37"/>
      <c r="B11" s="37">
        <f>B10*B5/60</f>
        <v>27</v>
      </c>
      <c r="C11" s="30"/>
      <c r="H11" s="1"/>
    </row>
    <row r="12" spans="1:9" ht="16.5" x14ac:dyDescent="0.3">
      <c r="A12" s="37" t="s">
        <v>7</v>
      </c>
      <c r="B12" s="30">
        <f>B11%</f>
        <v>0.27</v>
      </c>
      <c r="C12" s="36"/>
      <c r="H12" s="1"/>
    </row>
    <row r="13" spans="1:9" ht="16.5" x14ac:dyDescent="0.3">
      <c r="A13" s="37" t="s">
        <v>8</v>
      </c>
      <c r="B13" s="31">
        <f>ROUND((B7*B12),0)</f>
        <v>273672</v>
      </c>
      <c r="C13" s="31"/>
      <c r="H13" s="1"/>
    </row>
    <row r="14" spans="1:9" ht="16.5" x14ac:dyDescent="0.3">
      <c r="A14" s="37" t="s">
        <v>2</v>
      </c>
      <c r="B14" s="31">
        <v>301</v>
      </c>
      <c r="C14" s="28"/>
      <c r="D14" s="46">
        <f>B14*1.2</f>
        <v>361.2</v>
      </c>
      <c r="H14" s="1"/>
    </row>
    <row r="15" spans="1:9" ht="16.5" x14ac:dyDescent="0.3">
      <c r="A15" s="37" t="s">
        <v>9</v>
      </c>
      <c r="B15" s="34">
        <v>65000</v>
      </c>
      <c r="C15" s="28"/>
      <c r="H15" s="1"/>
    </row>
    <row r="16" spans="1:9" ht="16.5" x14ac:dyDescent="0.3">
      <c r="A16" s="43" t="s">
        <v>13</v>
      </c>
      <c r="B16" s="28">
        <f>B15*B14</f>
        <v>19565000</v>
      </c>
      <c r="C16" s="36"/>
      <c r="H16" s="1"/>
    </row>
    <row r="17" spans="1:14" ht="16.5" x14ac:dyDescent="0.3">
      <c r="A17" s="43" t="s">
        <v>10</v>
      </c>
      <c r="B17" s="38">
        <f>B16-B13</f>
        <v>19291328</v>
      </c>
      <c r="C17" s="39"/>
      <c r="D17" s="2"/>
      <c r="H17" s="1"/>
      <c r="N17" s="2"/>
    </row>
    <row r="18" spans="1:14" ht="21" x14ac:dyDescent="0.35">
      <c r="A18" s="43" t="s">
        <v>14</v>
      </c>
      <c r="B18" s="38">
        <f>B17*0.9</f>
        <v>17362195.199999999</v>
      </c>
      <c r="C18" s="36"/>
      <c r="F18" s="20"/>
      <c r="H18" s="1"/>
      <c r="N18" s="2"/>
    </row>
    <row r="19" spans="1:14" ht="21" x14ac:dyDescent="0.35">
      <c r="A19" s="43" t="s">
        <v>15</v>
      </c>
      <c r="B19" s="38">
        <f>B17*0.8</f>
        <v>15433062.4</v>
      </c>
      <c r="C19" s="36"/>
      <c r="F19" s="21"/>
      <c r="H19" s="1"/>
      <c r="N19" s="2"/>
    </row>
    <row r="20" spans="1:14" ht="21" x14ac:dyDescent="0.35">
      <c r="A20" s="43" t="s">
        <v>11</v>
      </c>
      <c r="B20" s="38">
        <f>D14*2800</f>
        <v>1011360</v>
      </c>
      <c r="C20" s="28"/>
      <c r="D20" s="2"/>
      <c r="E20" s="2"/>
      <c r="F20" s="22"/>
      <c r="H20" s="1"/>
    </row>
    <row r="21" spans="1:14" ht="21" x14ac:dyDescent="0.35">
      <c r="A21" s="37" t="s">
        <v>12</v>
      </c>
      <c r="B21" s="47">
        <f>B17*0.03/12</f>
        <v>48228.32</v>
      </c>
      <c r="C21" s="40"/>
      <c r="D21" s="2"/>
      <c r="E21" s="4" t="s">
        <v>39</v>
      </c>
      <c r="F21" s="21"/>
      <c r="H21" s="2"/>
    </row>
    <row r="22" spans="1:14" x14ac:dyDescent="0.25">
      <c r="B22" s="2"/>
    </row>
    <row r="23" spans="1:14" x14ac:dyDescent="0.25">
      <c r="A23" t="s">
        <v>38</v>
      </c>
      <c r="B23" s="2"/>
    </row>
    <row r="24" spans="1:14" x14ac:dyDescent="0.25">
      <c r="B24" s="2"/>
      <c r="F24" s="2" t="e">
        <f>F20/F23</f>
        <v>#DIV/0!</v>
      </c>
    </row>
    <row r="25" spans="1:14" x14ac:dyDescent="0.25">
      <c r="B25" s="2"/>
    </row>
    <row r="26" spans="1:14" x14ac:dyDescent="0.25">
      <c r="A26" s="7" t="s">
        <v>48</v>
      </c>
      <c r="B26" s="2"/>
      <c r="E26" t="s">
        <v>16</v>
      </c>
    </row>
    <row r="27" spans="1:14" ht="18.75" x14ac:dyDescent="0.3">
      <c r="A27" s="53">
        <v>12000000</v>
      </c>
      <c r="B27" s="2"/>
      <c r="C27" s="57" t="s">
        <v>45</v>
      </c>
      <c r="D27" s="57"/>
    </row>
    <row r="28" spans="1:14" ht="18.75" x14ac:dyDescent="0.3">
      <c r="B28" s="2"/>
      <c r="C28" s="57" t="s">
        <v>24</v>
      </c>
      <c r="D28" s="57"/>
    </row>
    <row r="29" spans="1:14" ht="18.75" x14ac:dyDescent="0.3">
      <c r="B29" s="2"/>
      <c r="C29" s="12" t="s">
        <v>25</v>
      </c>
      <c r="D29" s="12">
        <f>B17</f>
        <v>19291328</v>
      </c>
      <c r="E29" s="4"/>
    </row>
    <row r="30" spans="1:14" ht="18.75" x14ac:dyDescent="0.3">
      <c r="B30" s="2"/>
      <c r="C30" s="12" t="s">
        <v>14</v>
      </c>
      <c r="D30" s="12">
        <f>D29*90%</f>
        <v>17362195.199999999</v>
      </c>
    </row>
    <row r="31" spans="1:14" ht="18.75" x14ac:dyDescent="0.3">
      <c r="B31" s="2"/>
      <c r="C31" s="12" t="s">
        <v>15</v>
      </c>
      <c r="D31" s="12">
        <f>D29*80%</f>
        <v>15433062.4</v>
      </c>
    </row>
    <row r="32" spans="1:14" x14ac:dyDescent="0.25">
      <c r="B32" s="2"/>
    </row>
    <row r="33" spans="1:10" ht="18.75" x14ac:dyDescent="0.3">
      <c r="C33" s="57" t="s">
        <v>49</v>
      </c>
      <c r="D33" s="57"/>
      <c r="E33" s="2"/>
    </row>
    <row r="34" spans="1:10" ht="18.75" x14ac:dyDescent="0.3">
      <c r="C34" s="57" t="s">
        <v>24</v>
      </c>
      <c r="D34" s="57"/>
      <c r="E34" s="2"/>
    </row>
    <row r="35" spans="1:10" ht="18.75" x14ac:dyDescent="0.3">
      <c r="C35" s="12" t="s">
        <v>25</v>
      </c>
      <c r="D35" s="12">
        <f>[1]Cal!$E$29</f>
        <v>8831304</v>
      </c>
      <c r="E35" s="2"/>
    </row>
    <row r="36" spans="1:10" ht="18.75" x14ac:dyDescent="0.3">
      <c r="C36" s="12" t="s">
        <v>14</v>
      </c>
      <c r="D36" s="12">
        <f>D35*90%</f>
        <v>7948173.6000000006</v>
      </c>
      <c r="E36" s="2"/>
      <c r="J36" s="3"/>
    </row>
    <row r="37" spans="1:10" ht="18.75" x14ac:dyDescent="0.3">
      <c r="C37" s="12" t="s">
        <v>15</v>
      </c>
      <c r="D37" s="12">
        <f>D35*80%</f>
        <v>7065043.2000000002</v>
      </c>
      <c r="E37" s="2"/>
      <c r="J37" s="3"/>
    </row>
    <row r="38" spans="1:10" x14ac:dyDescent="0.25">
      <c r="E38" s="2"/>
    </row>
    <row r="39" spans="1:10" x14ac:dyDescent="0.25">
      <c r="E39" s="2"/>
    </row>
    <row r="40" spans="1:10" x14ac:dyDescent="0.25">
      <c r="E40" s="2"/>
    </row>
    <row r="41" spans="1:10" x14ac:dyDescent="0.25">
      <c r="E41" s="2"/>
    </row>
    <row r="42" spans="1:10" x14ac:dyDescent="0.25">
      <c r="E42" s="2"/>
    </row>
    <row r="43" spans="1:10" x14ac:dyDescent="0.25">
      <c r="E43" s="2"/>
    </row>
    <row r="44" spans="1:10" x14ac:dyDescent="0.25">
      <c r="E44" s="2"/>
    </row>
    <row r="45" spans="1:10" x14ac:dyDescent="0.25">
      <c r="E45" s="2"/>
    </row>
    <row r="46" spans="1:10" x14ac:dyDescent="0.25">
      <c r="E46" s="2"/>
    </row>
    <row r="47" spans="1:10" ht="15.75" x14ac:dyDescent="0.25">
      <c r="A47" s="44"/>
      <c r="E47" s="2"/>
    </row>
    <row r="48" spans="1:10" ht="15.75" x14ac:dyDescent="0.25">
      <c r="A48" s="44"/>
    </row>
    <row r="49" spans="1:1" ht="15.75" x14ac:dyDescent="0.25">
      <c r="A49" s="44"/>
    </row>
    <row r="50" spans="1:1" ht="15.75" x14ac:dyDescent="0.25">
      <c r="A50" s="44"/>
    </row>
    <row r="51" spans="1:1" ht="15.75" x14ac:dyDescent="0.25">
      <c r="A51" s="44"/>
    </row>
    <row r="52" spans="1:1" ht="15.75" x14ac:dyDescent="0.25">
      <c r="A52" s="44"/>
    </row>
    <row r="53" spans="1:1" ht="15.75" x14ac:dyDescent="0.25">
      <c r="A53" s="44"/>
    </row>
    <row r="73" spans="3:5" x14ac:dyDescent="0.25">
      <c r="C73" s="2"/>
      <c r="D73" s="2"/>
      <c r="E73" s="2"/>
    </row>
  </sheetData>
  <mergeCells count="4">
    <mergeCell ref="C27:D27"/>
    <mergeCell ref="C28:D28"/>
    <mergeCell ref="C33:D33"/>
    <mergeCell ref="C34:D3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3C6C9-DD16-4CEB-AD4A-5DE39C29D8EE}">
  <dimension ref="A1:R35"/>
  <sheetViews>
    <sheetView workbookViewId="0">
      <selection activeCell="F13" sqref="F13"/>
    </sheetView>
  </sheetViews>
  <sheetFormatPr defaultRowHeight="15" x14ac:dyDescent="0.25"/>
  <cols>
    <col min="3" max="3" width="14.140625" customWidth="1"/>
    <col min="4" max="4" width="16.140625" customWidth="1"/>
    <col min="5" max="5" width="21.5703125" customWidth="1"/>
    <col min="6" max="6" width="13.85546875" customWidth="1"/>
    <col min="7" max="7" width="16.7109375" customWidth="1"/>
    <col min="8" max="8" width="19.7109375" customWidth="1"/>
    <col min="14" max="14" width="20.85546875" customWidth="1"/>
    <col min="15" max="15" width="24.85546875" customWidth="1"/>
    <col min="16" max="16" width="13.42578125" customWidth="1"/>
  </cols>
  <sheetData>
    <row r="1" spans="1:18" ht="39.75" customHeight="1" x14ac:dyDescent="0.25">
      <c r="A1" t="s">
        <v>26</v>
      </c>
      <c r="B1" s="13" t="s">
        <v>13</v>
      </c>
      <c r="C1" s="13" t="s">
        <v>27</v>
      </c>
      <c r="D1" s="13" t="s">
        <v>28</v>
      </c>
      <c r="E1" s="14" t="s">
        <v>10</v>
      </c>
      <c r="F1" s="13" t="s">
        <v>29</v>
      </c>
      <c r="G1" s="13" t="s">
        <v>30</v>
      </c>
      <c r="H1" s="13" t="s">
        <v>31</v>
      </c>
      <c r="I1" t="s">
        <v>32</v>
      </c>
      <c r="J1" s="13" t="s">
        <v>35</v>
      </c>
      <c r="L1" t="s">
        <v>22</v>
      </c>
      <c r="M1" t="s">
        <v>23</v>
      </c>
      <c r="N1" t="s">
        <v>10</v>
      </c>
      <c r="O1" t="s">
        <v>33</v>
      </c>
      <c r="P1" t="s">
        <v>34</v>
      </c>
      <c r="R1" t="s">
        <v>47</v>
      </c>
    </row>
    <row r="2" spans="1:18" x14ac:dyDescent="0.25">
      <c r="B2" s="23">
        <f>C2/1.2</f>
        <v>333.33333333333337</v>
      </c>
      <c r="C2" s="23">
        <v>400</v>
      </c>
      <c r="D2" s="23">
        <f>C2*1.2</f>
        <v>480</v>
      </c>
      <c r="E2" s="24">
        <v>25000000</v>
      </c>
      <c r="F2" s="25">
        <f>E2/B2</f>
        <v>74999.999999999985</v>
      </c>
      <c r="G2" s="26">
        <f>E2/C2</f>
        <v>62500</v>
      </c>
      <c r="H2" s="26">
        <f>E2/D2</f>
        <v>52083.333333333336</v>
      </c>
      <c r="I2" s="23"/>
      <c r="J2" s="51" t="s">
        <v>36</v>
      </c>
      <c r="K2" s="23"/>
      <c r="L2" s="23">
        <f>M2/1.2</f>
        <v>96.876000000000005</v>
      </c>
      <c r="M2" s="23">
        <f>10.8*10.764</f>
        <v>116.2512</v>
      </c>
      <c r="N2" s="27">
        <v>7200000</v>
      </c>
      <c r="O2" s="54">
        <f>N2/L2</f>
        <v>74321.813452248229</v>
      </c>
      <c r="P2" s="19">
        <f>N2/M2</f>
        <v>61934.844543540195</v>
      </c>
      <c r="R2">
        <v>2024</v>
      </c>
    </row>
    <row r="3" spans="1:18" x14ac:dyDescent="0.25">
      <c r="B3" s="23"/>
      <c r="C3" s="23">
        <f>D3/1.2</f>
        <v>56.666666666666671</v>
      </c>
      <c r="D3" s="23">
        <v>68</v>
      </c>
      <c r="E3" s="24">
        <v>6800000</v>
      </c>
      <c r="F3" s="25" t="e">
        <f t="shared" ref="F3:F13" si="0">E3/B3</f>
        <v>#DIV/0!</v>
      </c>
      <c r="G3" s="26">
        <f t="shared" ref="G3:G13" si="1">E3/C3</f>
        <v>119999.99999999999</v>
      </c>
      <c r="H3" s="26">
        <f t="shared" ref="H3:H13" si="2">E3/D3</f>
        <v>100000</v>
      </c>
      <c r="I3" s="23"/>
      <c r="J3" s="50">
        <v>8</v>
      </c>
      <c r="K3" s="48"/>
      <c r="L3" s="48">
        <v>129.9753</v>
      </c>
      <c r="M3" s="48">
        <v>155.97040000000001</v>
      </c>
      <c r="N3" s="49">
        <v>7200000</v>
      </c>
      <c r="O3" s="55">
        <v>55395</v>
      </c>
      <c r="P3" s="48">
        <v>46162.617050000001</v>
      </c>
      <c r="R3">
        <v>2025</v>
      </c>
    </row>
    <row r="4" spans="1:18" x14ac:dyDescent="0.25">
      <c r="B4" s="23">
        <v>250</v>
      </c>
      <c r="C4" s="23">
        <f t="shared" ref="C4:D4" si="3">B4*1.2</f>
        <v>300</v>
      </c>
      <c r="D4" s="23">
        <f t="shared" si="3"/>
        <v>360</v>
      </c>
      <c r="E4" s="24">
        <v>19500000</v>
      </c>
      <c r="F4" s="25">
        <f t="shared" si="0"/>
        <v>78000</v>
      </c>
      <c r="G4" s="2">
        <f t="shared" si="1"/>
        <v>65000</v>
      </c>
      <c r="H4" s="26">
        <f t="shared" si="2"/>
        <v>54166.666666666664</v>
      </c>
      <c r="I4" s="23"/>
      <c r="J4" s="51">
        <v>30</v>
      </c>
      <c r="K4" s="23"/>
      <c r="L4" s="23">
        <f>13.1*10.764</f>
        <v>141.00839999999999</v>
      </c>
      <c r="M4" s="23">
        <f>15.72*10.764</f>
        <v>169.21008</v>
      </c>
      <c r="N4" s="27">
        <v>7000000</v>
      </c>
      <c r="O4" s="23">
        <f>N4/L4</f>
        <v>49642.43264940245</v>
      </c>
      <c r="P4">
        <f>N4/M4</f>
        <v>41368.693874502038</v>
      </c>
      <c r="R4">
        <v>2024</v>
      </c>
    </row>
    <row r="5" spans="1:18" x14ac:dyDescent="0.25">
      <c r="B5" s="23">
        <f>C5/1.2</f>
        <v>150</v>
      </c>
      <c r="C5" s="23">
        <v>180</v>
      </c>
      <c r="D5" s="23">
        <f t="shared" ref="D5:D11" si="4">C5*1.2</f>
        <v>216</v>
      </c>
      <c r="E5" s="24">
        <v>10500000</v>
      </c>
      <c r="F5" s="25">
        <f t="shared" si="0"/>
        <v>70000</v>
      </c>
      <c r="G5" s="2">
        <f t="shared" si="1"/>
        <v>58333.333333333336</v>
      </c>
      <c r="H5" s="26">
        <f t="shared" si="2"/>
        <v>48611.111111111109</v>
      </c>
      <c r="I5" s="23"/>
      <c r="J5" s="23"/>
      <c r="K5" s="23"/>
      <c r="L5" s="23"/>
      <c r="M5" s="23"/>
      <c r="N5" s="27"/>
      <c r="O5" s="23" t="e">
        <f t="shared" ref="O5:O11" si="5">N5/L5</f>
        <v>#DIV/0!</v>
      </c>
      <c r="P5" t="e">
        <f t="shared" ref="P5:P11" si="6">N5/M5</f>
        <v>#DIV/0!</v>
      </c>
    </row>
    <row r="6" spans="1:18" x14ac:dyDescent="0.25">
      <c r="B6" s="23">
        <f>C6/1.2</f>
        <v>179.16666666666669</v>
      </c>
      <c r="C6" s="23">
        <v>215</v>
      </c>
      <c r="D6" s="23">
        <f t="shared" si="4"/>
        <v>258</v>
      </c>
      <c r="E6" s="24">
        <v>16400000</v>
      </c>
      <c r="F6" s="25">
        <f t="shared" si="0"/>
        <v>91534.883720930229</v>
      </c>
      <c r="G6" s="2">
        <f t="shared" si="1"/>
        <v>76279.069767441862</v>
      </c>
      <c r="H6" s="26">
        <f t="shared" si="2"/>
        <v>63565.891472868214</v>
      </c>
      <c r="I6" s="23"/>
      <c r="J6" s="23"/>
      <c r="K6" s="23"/>
      <c r="L6" s="23"/>
      <c r="M6" s="23"/>
      <c r="N6" s="27"/>
      <c r="O6" s="23" t="e">
        <f t="shared" si="5"/>
        <v>#DIV/0!</v>
      </c>
      <c r="P6" t="e">
        <f t="shared" si="6"/>
        <v>#DIV/0!</v>
      </c>
    </row>
    <row r="7" spans="1:18" x14ac:dyDescent="0.25">
      <c r="B7" s="23">
        <v>190</v>
      </c>
      <c r="C7" s="23">
        <f>B7*1.2</f>
        <v>228</v>
      </c>
      <c r="D7" s="23">
        <f t="shared" si="4"/>
        <v>273.59999999999997</v>
      </c>
      <c r="E7" s="24">
        <v>11500000</v>
      </c>
      <c r="F7" s="5">
        <f t="shared" si="0"/>
        <v>60526.315789473687</v>
      </c>
      <c r="G7" s="2">
        <f t="shared" si="1"/>
        <v>50438.596491228069</v>
      </c>
      <c r="H7" s="26">
        <f t="shared" si="2"/>
        <v>42032.163742690063</v>
      </c>
      <c r="I7" s="23"/>
      <c r="J7" s="23"/>
      <c r="K7" s="23"/>
      <c r="L7" s="23"/>
      <c r="M7" s="23"/>
      <c r="N7" s="23"/>
      <c r="O7" s="23" t="e">
        <f t="shared" si="5"/>
        <v>#DIV/0!</v>
      </c>
      <c r="P7" t="e">
        <f t="shared" si="6"/>
        <v>#DIV/0!</v>
      </c>
    </row>
    <row r="8" spans="1:18" x14ac:dyDescent="0.25">
      <c r="B8" s="23"/>
      <c r="C8" s="23">
        <f>D8/1.1</f>
        <v>122.72727272727272</v>
      </c>
      <c r="D8" s="23">
        <v>135</v>
      </c>
      <c r="E8" s="24">
        <v>6800000</v>
      </c>
      <c r="F8" s="23" t="e">
        <f t="shared" si="0"/>
        <v>#DIV/0!</v>
      </c>
      <c r="G8" s="2">
        <f t="shared" si="1"/>
        <v>55407.407407407409</v>
      </c>
      <c r="H8" s="26">
        <f t="shared" si="2"/>
        <v>50370.370370370372</v>
      </c>
      <c r="I8" s="23"/>
      <c r="J8" s="23"/>
      <c r="K8" s="23"/>
      <c r="L8" s="23"/>
      <c r="M8" s="23"/>
      <c r="N8" s="23"/>
      <c r="O8" s="23" t="e">
        <f t="shared" si="5"/>
        <v>#DIV/0!</v>
      </c>
      <c r="P8" t="e">
        <f t="shared" si="6"/>
        <v>#DIV/0!</v>
      </c>
    </row>
    <row r="9" spans="1:18" x14ac:dyDescent="0.25">
      <c r="B9" s="26">
        <v>95</v>
      </c>
      <c r="C9" s="23">
        <f>B9*1.2</f>
        <v>114</v>
      </c>
      <c r="D9" s="23">
        <f t="shared" si="4"/>
        <v>136.79999999999998</v>
      </c>
      <c r="E9" s="24">
        <v>9500000</v>
      </c>
      <c r="F9" s="23">
        <v>65000</v>
      </c>
      <c r="G9" s="2">
        <f t="shared" si="1"/>
        <v>83333.333333333328</v>
      </c>
      <c r="H9" s="26">
        <f t="shared" si="2"/>
        <v>69444.444444444453</v>
      </c>
      <c r="I9" s="23"/>
      <c r="J9" s="23"/>
      <c r="K9" s="23"/>
      <c r="L9" s="23"/>
      <c r="M9" s="23"/>
      <c r="N9" s="23"/>
      <c r="O9" s="23" t="e">
        <f t="shared" si="5"/>
        <v>#DIV/0!</v>
      </c>
      <c r="P9" t="e">
        <f t="shared" si="6"/>
        <v>#DIV/0!</v>
      </c>
    </row>
    <row r="10" spans="1:18" x14ac:dyDescent="0.25">
      <c r="B10" s="23">
        <f>C10/1.2</f>
        <v>195</v>
      </c>
      <c r="C10" s="23">
        <v>234</v>
      </c>
      <c r="D10" s="23">
        <f t="shared" si="4"/>
        <v>280.8</v>
      </c>
      <c r="E10" s="24">
        <v>15000000</v>
      </c>
      <c r="F10">
        <f t="shared" si="0"/>
        <v>76923.076923076922</v>
      </c>
      <c r="G10" s="2">
        <f t="shared" si="1"/>
        <v>64102.564102564102</v>
      </c>
      <c r="H10" s="26">
        <f t="shared" si="2"/>
        <v>53418.803418803414</v>
      </c>
      <c r="I10" s="23"/>
      <c r="J10" s="23"/>
      <c r="K10" s="23"/>
      <c r="L10" s="23"/>
      <c r="M10" s="23" t="e">
        <v>#REF!</v>
      </c>
      <c r="N10" s="23"/>
      <c r="O10" s="23" t="e">
        <f t="shared" si="5"/>
        <v>#DIV/0!</v>
      </c>
      <c r="P10" t="e">
        <f t="shared" si="6"/>
        <v>#REF!</v>
      </c>
    </row>
    <row r="11" spans="1:18" x14ac:dyDescent="0.25">
      <c r="B11" s="23">
        <v>1698</v>
      </c>
      <c r="C11" s="23">
        <f t="shared" ref="C11:C13" si="7">B11*1.2</f>
        <v>2037.6</v>
      </c>
      <c r="D11" s="23">
        <f t="shared" si="4"/>
        <v>2445.12</v>
      </c>
      <c r="E11" s="24">
        <v>110000000</v>
      </c>
      <c r="F11">
        <f t="shared" si="0"/>
        <v>64782.096584216728</v>
      </c>
      <c r="G11" s="2">
        <f t="shared" si="1"/>
        <v>53985.080486847277</v>
      </c>
      <c r="H11" s="26">
        <f t="shared" si="2"/>
        <v>44987.567072372731</v>
      </c>
      <c r="I11" s="23"/>
      <c r="J11" s="23"/>
      <c r="K11" s="23"/>
      <c r="L11" s="23"/>
      <c r="M11" s="23" t="e">
        <v>#REF!</v>
      </c>
      <c r="N11" s="23"/>
      <c r="O11" s="23" t="e">
        <f t="shared" si="5"/>
        <v>#DIV/0!</v>
      </c>
      <c r="P11" t="e">
        <f t="shared" si="6"/>
        <v>#REF!</v>
      </c>
    </row>
    <row r="12" spans="1:18" x14ac:dyDescent="0.25">
      <c r="B12" s="23">
        <f>C12/1.2</f>
        <v>208.33333333333334</v>
      </c>
      <c r="C12" s="23">
        <v>250</v>
      </c>
      <c r="D12" s="23">
        <f t="shared" ref="D12" si="8">C12*1.2</f>
        <v>300</v>
      </c>
      <c r="E12" s="24">
        <v>13000000</v>
      </c>
      <c r="F12" s="56">
        <f>E12/B12</f>
        <v>62400</v>
      </c>
      <c r="G12" s="2">
        <f t="shared" si="1"/>
        <v>52000</v>
      </c>
      <c r="H12" s="26">
        <f t="shared" si="2"/>
        <v>43333.333333333336</v>
      </c>
      <c r="I12" s="23">
        <v>0</v>
      </c>
      <c r="J12" s="23">
        <v>0</v>
      </c>
      <c r="K12" s="23"/>
      <c r="L12" s="23"/>
      <c r="M12" s="23" t="e">
        <v>#REF!</v>
      </c>
      <c r="N12" s="23"/>
      <c r="O12" s="23"/>
    </row>
    <row r="13" spans="1:18" x14ac:dyDescent="0.25">
      <c r="B13">
        <v>260</v>
      </c>
      <c r="C13" s="23">
        <f t="shared" si="7"/>
        <v>312</v>
      </c>
      <c r="D13">
        <f t="shared" ref="D13" si="9">C13*1.2</f>
        <v>374.4</v>
      </c>
      <c r="E13" s="24">
        <v>17000000</v>
      </c>
      <c r="F13" s="5">
        <f t="shared" si="0"/>
        <v>65384.615384615383</v>
      </c>
      <c r="G13" s="2">
        <f t="shared" si="1"/>
        <v>54487.179487179485</v>
      </c>
      <c r="H13" s="2">
        <f t="shared" si="2"/>
        <v>45405.982905982906</v>
      </c>
      <c r="I13">
        <v>0</v>
      </c>
      <c r="J13">
        <v>0</v>
      </c>
    </row>
    <row r="14" spans="1:18" x14ac:dyDescent="0.25">
      <c r="B14">
        <v>0</v>
      </c>
      <c r="C14">
        <f t="shared" ref="C14:D14" si="10">B14*1.2</f>
        <v>0</v>
      </c>
      <c r="D14">
        <f t="shared" si="10"/>
        <v>0</v>
      </c>
      <c r="F14" t="e">
        <v>#DIV/0!</v>
      </c>
      <c r="G14" t="e">
        <v>#DIV/0!</v>
      </c>
      <c r="H14" t="e">
        <v>#DIV/0!</v>
      </c>
      <c r="I14">
        <v>0</v>
      </c>
      <c r="J14">
        <v>0</v>
      </c>
    </row>
    <row r="15" spans="1:18" x14ac:dyDescent="0.25">
      <c r="B15">
        <v>0</v>
      </c>
      <c r="C15">
        <v>0</v>
      </c>
      <c r="D15">
        <v>0</v>
      </c>
      <c r="F15" t="e">
        <v>#DIV/0!</v>
      </c>
      <c r="G15" t="e">
        <v>#DIV/0!</v>
      </c>
      <c r="H15" t="e">
        <v>#DIV/0!</v>
      </c>
      <c r="I15">
        <v>0</v>
      </c>
      <c r="J15">
        <v>0</v>
      </c>
    </row>
    <row r="16" spans="1:18" x14ac:dyDescent="0.25">
      <c r="B16">
        <v>0</v>
      </c>
      <c r="C16">
        <v>0</v>
      </c>
      <c r="D16">
        <v>0</v>
      </c>
      <c r="F16" t="e">
        <v>#DIV/0!</v>
      </c>
      <c r="G16" t="e">
        <v>#DIV/0!</v>
      </c>
      <c r="H16" t="e">
        <v>#DIV/0!</v>
      </c>
      <c r="I16">
        <v>0</v>
      </c>
      <c r="J16">
        <v>0</v>
      </c>
    </row>
    <row r="17" spans="2:15" x14ac:dyDescent="0.25">
      <c r="B17">
        <v>0</v>
      </c>
      <c r="C17">
        <v>0</v>
      </c>
      <c r="D17">
        <v>0</v>
      </c>
      <c r="F17" t="e">
        <v>#DIV/0!</v>
      </c>
      <c r="G17" t="e">
        <v>#DIV/0!</v>
      </c>
      <c r="H17" t="e">
        <v>#DIV/0!</v>
      </c>
      <c r="I17">
        <v>0</v>
      </c>
      <c r="J17">
        <v>0</v>
      </c>
    </row>
    <row r="18" spans="2:15" x14ac:dyDescent="0.25">
      <c r="B18">
        <v>0</v>
      </c>
      <c r="C18">
        <v>0</v>
      </c>
      <c r="D18">
        <v>0</v>
      </c>
      <c r="F18" t="e">
        <v>#DIV/0!</v>
      </c>
      <c r="G18" t="e">
        <v>#DIV/0!</v>
      </c>
      <c r="H18" t="e">
        <v>#DIV/0!</v>
      </c>
      <c r="I18">
        <v>0</v>
      </c>
      <c r="J18">
        <v>0</v>
      </c>
    </row>
    <row r="25" spans="2:15" x14ac:dyDescent="0.25">
      <c r="N25">
        <v>163</v>
      </c>
      <c r="O25">
        <f>N25/1.2</f>
        <v>135.83333333333334</v>
      </c>
    </row>
    <row r="26" spans="2:15" x14ac:dyDescent="0.25">
      <c r="N26">
        <v>65000</v>
      </c>
    </row>
    <row r="27" spans="2:15" x14ac:dyDescent="0.25">
      <c r="N27">
        <f>N25*N26</f>
        <v>10595000</v>
      </c>
    </row>
    <row r="28" spans="2:15" x14ac:dyDescent="0.25">
      <c r="N28">
        <f>N27/O25</f>
        <v>78000</v>
      </c>
    </row>
    <row r="32" spans="2:15" x14ac:dyDescent="0.25">
      <c r="N32" s="52">
        <v>9000000</v>
      </c>
    </row>
    <row r="33" spans="14:14" x14ac:dyDescent="0.25">
      <c r="N33" s="52">
        <v>120000</v>
      </c>
    </row>
    <row r="34" spans="14:14" x14ac:dyDescent="0.25">
      <c r="N34" s="52">
        <v>2880000</v>
      </c>
    </row>
    <row r="35" spans="14:14" x14ac:dyDescent="0.25">
      <c r="N35" s="52">
        <f>SUM(N32:N34)</f>
        <v>12000000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CF7E88-42A1-49AB-AD1A-3521D366A983}">
  <dimension ref="A1"/>
  <sheetViews>
    <sheetView topLeftCell="A612" workbookViewId="0">
      <selection activeCell="A623" sqref="A6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E7AC2-BE42-4B1C-A2F7-3269B7318E13}">
  <dimension ref="N17:O135"/>
  <sheetViews>
    <sheetView topLeftCell="A73" workbookViewId="0">
      <selection activeCell="V129" sqref="V129"/>
    </sheetView>
  </sheetViews>
  <sheetFormatPr defaultRowHeight="15" x14ac:dyDescent="0.25"/>
  <sheetData>
    <row r="17" spans="14:15" x14ac:dyDescent="0.25">
      <c r="N17" t="s">
        <v>46</v>
      </c>
      <c r="O17">
        <v>2</v>
      </c>
    </row>
    <row r="51" spans="14:15" x14ac:dyDescent="0.25">
      <c r="N51" t="s">
        <v>46</v>
      </c>
      <c r="O51">
        <v>3</v>
      </c>
    </row>
    <row r="94" spans="14:15" x14ac:dyDescent="0.25">
      <c r="N94" t="s">
        <v>46</v>
      </c>
      <c r="O94">
        <v>6</v>
      </c>
    </row>
    <row r="135" spans="14:15" x14ac:dyDescent="0.25">
      <c r="N135" t="s">
        <v>46</v>
      </c>
      <c r="O135">
        <v>7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L42:Q62"/>
  <sheetViews>
    <sheetView topLeftCell="A34" zoomScale="160" zoomScaleNormal="160" workbookViewId="0">
      <selection activeCell="M45" sqref="M45"/>
    </sheetView>
  </sheetViews>
  <sheetFormatPr defaultRowHeight="15" x14ac:dyDescent="0.25"/>
  <sheetData>
    <row r="42" spans="12:14" ht="26.25" x14ac:dyDescent="0.4">
      <c r="L42" s="17" t="s">
        <v>40</v>
      </c>
      <c r="M42" s="17" t="s">
        <v>41</v>
      </c>
      <c r="N42" s="4"/>
    </row>
    <row r="62" spans="16:17" x14ac:dyDescent="0.25">
      <c r="P62" t="s">
        <v>46</v>
      </c>
      <c r="Q62">
        <v>10</v>
      </c>
    </row>
  </sheetData>
  <pageMargins left="0.7" right="0.7" top="0.75" bottom="0.75" header="0.3" footer="0.3"/>
  <pageSetup orientation="portrait" horizontalDpi="1200" verticalDpi="1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908A71-AF29-4FB6-81BB-B5BC0CE33134}">
  <dimension ref="S37:T39"/>
  <sheetViews>
    <sheetView topLeftCell="A19" workbookViewId="0">
      <selection activeCell="S37" sqref="S37:T39"/>
    </sheetView>
  </sheetViews>
  <sheetFormatPr defaultRowHeight="15" x14ac:dyDescent="0.25"/>
  <cols>
    <col min="20" max="20" width="23.85546875" customWidth="1"/>
  </cols>
  <sheetData>
    <row r="37" spans="19:20" ht="26.25" x14ac:dyDescent="0.4">
      <c r="S37" s="16" t="s">
        <v>42</v>
      </c>
      <c r="T37" s="18">
        <v>228800</v>
      </c>
    </row>
    <row r="39" spans="19:20" ht="26.25" x14ac:dyDescent="0.4">
      <c r="S39" s="16" t="s">
        <v>44</v>
      </c>
      <c r="T39" s="16" t="s">
        <v>43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Cal</vt:lpstr>
      <vt:lpstr>20-20</vt:lpstr>
      <vt:lpstr>Rate</vt:lpstr>
      <vt:lpstr>2025 Agm Page</vt:lpstr>
      <vt:lpstr>Old Area page</vt:lpstr>
      <vt:lpstr>RR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2025-03-27T09:45:57Z</dcterms:modified>
</cp:coreProperties>
</file>