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 2025\Flags Hotels Pvt Ltd\"/>
    </mc:Choice>
  </mc:AlternateContent>
  <xr:revisionPtr revIDLastSave="0" documentId="13_ncr:1_{4FB38860-502E-4E78-B59F-D50D7250BAD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lags Hotels" sheetId="2" r:id="rId1"/>
    <sheet name="Sheet5" sheetId="7" r:id="rId2"/>
    <sheet name="Sheet1" sheetId="3" r:id="rId3"/>
    <sheet name="Sheet2" sheetId="4" r:id="rId4"/>
    <sheet name="Sheet3" sheetId="5" r:id="rId5"/>
    <sheet name="working" sheetId="6" r:id="rId6"/>
  </sheets>
  <calcPr calcId="191029"/>
</workbook>
</file>

<file path=xl/calcChain.xml><?xml version="1.0" encoding="utf-8"?>
<calcChain xmlns="http://schemas.openxmlformats.org/spreadsheetml/2006/main">
  <c r="O59" i="2" l="1"/>
  <c r="O60" i="2"/>
  <c r="O52" i="2"/>
  <c r="O51" i="2"/>
  <c r="O58" i="2"/>
  <c r="M58" i="2"/>
  <c r="O53" i="2"/>
  <c r="O54" i="2"/>
  <c r="O55" i="2"/>
  <c r="O56" i="2"/>
  <c r="O57" i="2"/>
  <c r="O50" i="2"/>
  <c r="M57" i="2"/>
  <c r="L14" i="7" l="1"/>
  <c r="L13" i="7"/>
  <c r="I15" i="6"/>
  <c r="C12" i="2"/>
  <c r="C10" i="2"/>
  <c r="C8" i="2"/>
  <c r="E24" i="6"/>
  <c r="E22" i="6"/>
  <c r="E6" i="6"/>
  <c r="E7" i="6" s="1"/>
  <c r="E5" i="6"/>
  <c r="E4" i="6"/>
  <c r="E13" i="6" s="1"/>
  <c r="E9" i="6" l="1"/>
  <c r="E10" i="6" s="1"/>
  <c r="E11" i="6"/>
  <c r="E12" i="6" s="1"/>
  <c r="E15" i="6" s="1"/>
  <c r="E19" i="6" s="1"/>
  <c r="E21" i="6" l="1"/>
  <c r="E20" i="6"/>
  <c r="C17" i="2" l="1"/>
  <c r="M23" i="2" s="1"/>
  <c r="M8" i="2"/>
  <c r="H8" i="2"/>
  <c r="I8" i="2" s="1"/>
  <c r="J8" i="2" s="1"/>
  <c r="K8" i="2" s="1"/>
  <c r="L8" i="2" s="1"/>
  <c r="L10" i="5"/>
  <c r="W9" i="4"/>
  <c r="K7" i="4"/>
  <c r="Z19" i="3"/>
  <c r="N10" i="3"/>
  <c r="C26" i="2"/>
  <c r="C28" i="2" s="1"/>
  <c r="M14" i="2" l="1"/>
  <c r="H14" i="2"/>
  <c r="I14" i="2" s="1"/>
  <c r="J14" i="2" s="1"/>
  <c r="K14" i="2" s="1"/>
  <c r="L14" i="2" s="1"/>
  <c r="M12" i="2"/>
  <c r="H12" i="2"/>
  <c r="I12" i="2" s="1"/>
  <c r="J12" i="2" s="1"/>
  <c r="K12" i="2" s="1"/>
  <c r="L12" i="2" s="1"/>
  <c r="M10" i="2"/>
  <c r="H10" i="2" l="1"/>
  <c r="I10" i="2" s="1"/>
  <c r="J10" i="2" s="1"/>
  <c r="C34" i="2"/>
  <c r="D4" i="2"/>
  <c r="M17" i="2"/>
  <c r="C41" i="2"/>
  <c r="C42" i="2" s="1"/>
  <c r="C43" i="2" s="1"/>
  <c r="C23" i="2"/>
  <c r="C33" i="2" s="1"/>
  <c r="C4" i="2"/>
  <c r="C31" i="2" s="1"/>
  <c r="C44" i="2" l="1"/>
  <c r="K10" i="2"/>
  <c r="L10" i="2" s="1"/>
  <c r="L17" i="2" l="1"/>
  <c r="C32" i="2" s="1"/>
  <c r="C45" i="2" s="1"/>
  <c r="C35" i="2" l="1"/>
  <c r="C36" i="2" l="1"/>
  <c r="C40" i="2"/>
  <c r="C37" i="2"/>
  <c r="C38" i="2" s="1"/>
  <c r="C39" i="2" s="1"/>
</calcChain>
</file>

<file path=xl/sharedStrings.xml><?xml version="1.0" encoding="utf-8"?>
<sst xmlns="http://schemas.openxmlformats.org/spreadsheetml/2006/main" count="86" uniqueCount="73">
  <si>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</si>
  <si>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</si>
  <si>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</si>
  <si>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</si>
  <si>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</si>
  <si>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</si>
  <si>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</si>
  <si>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</si>
  <si>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</si>
  <si>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</si>
  <si>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</si>
  <si>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</si>
  <si>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</si>
  <si>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</si>
  <si>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</si>
  <si>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</si>
  <si>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</si>
  <si>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</si>
  <si>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</si>
  <si>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</si>
  <si>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</si>
  <si>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</si>
  <si>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</si>
  <si>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</si>
  <si>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</si>
  <si>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</si>
  <si>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</si>
  <si>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 Area In             Sq.M.</t>
  </si>
  <si>
    <t>Government Value</t>
  </si>
  <si>
    <t>Land Area</t>
  </si>
  <si>
    <t>Total</t>
  </si>
  <si>
    <t>PER SQ.m</t>
  </si>
  <si>
    <t xml:space="preserve">Ground Floor </t>
  </si>
  <si>
    <t>First floor</t>
  </si>
  <si>
    <t xml:space="preserve">Second Floor </t>
  </si>
  <si>
    <t xml:space="preserve">Basement Area 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</si>
  <si>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</si>
  <si>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</si>
  <si>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</si>
  <si>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</si>
  <si>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</si>
  <si>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</si>
  <si>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</si>
  <si>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</si>
  <si>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(100-10)X19/60</t>
  </si>
  <si>
    <t>Depreciation Amt</t>
  </si>
  <si>
    <t>Depreciated Bldg. Rate</t>
  </si>
  <si>
    <t xml:space="preserve">Total Composite </t>
  </si>
  <si>
    <t xml:space="preserve">BUA Area </t>
  </si>
  <si>
    <t>sq.ft</t>
  </si>
  <si>
    <t>TOTAL FMV</t>
  </si>
  <si>
    <t>RV</t>
  </si>
  <si>
    <t>DV</t>
  </si>
  <si>
    <t>IV</t>
  </si>
  <si>
    <t>RR Value</t>
  </si>
  <si>
    <t>Rental Value</t>
  </si>
  <si>
    <t>Starcase &amp; Etc</t>
  </si>
  <si>
    <t>sq.M</t>
  </si>
  <si>
    <t>50k</t>
  </si>
  <si>
    <t>Second Floor</t>
  </si>
  <si>
    <t>First Floor - Community Hall</t>
  </si>
  <si>
    <t>Open Space (40%)</t>
  </si>
  <si>
    <t>Basement Store-1</t>
  </si>
  <si>
    <t>Basement Store-2 A</t>
  </si>
  <si>
    <t>Basement Store-2 B</t>
  </si>
  <si>
    <t>First Floor- Kitchen</t>
  </si>
  <si>
    <t>Rate /Sq.Ft</t>
  </si>
  <si>
    <t xml:space="preserve">Total Value </t>
  </si>
  <si>
    <t>Top Terrace Area (25%)</t>
  </si>
  <si>
    <t xml:space="preserve">Interior value </t>
  </si>
  <si>
    <t xml:space="preserve">Floor </t>
  </si>
  <si>
    <t>C.A in sq.ft</t>
  </si>
  <si>
    <t>Discussed with Manoj and finalised - 01.02.2025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</si>
</sst>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6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/>
    <xf numFmtId="4" fontId="7" fillId="0" borderId="1" xfId="0" applyNumberFormat="1" applyFont="1" applyBorder="1" applyAlignment="1">
      <alignment vertical="top"/>
    </xf>
    <xf numFmtId="4" fontId="7" fillId="0" borderId="0" xfId="0" applyNumberFormat="1" applyFont="1" applyAlignment="1">
      <alignment vertical="top"/>
    </xf>
    <xf numFmtId="0" fontId="3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7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top" wrapText="1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9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center" wrapText="1"/>
    </xf>
    <xf numFmtId="4" fontId="7" fillId="0" borderId="0" xfId="0" applyNumberFormat="1" applyFont="1" applyAlignment="1">
      <alignment horizontal="right" vertical="top"/>
    </xf>
    <xf numFmtId="0" fontId="1" fillId="0" borderId="0" xfId="0" applyFont="1" applyAlignment="1">
      <alignment horizontal="center"/>
    </xf>
    <xf numFmtId="0" fontId="7" fillId="0" borderId="0" xfId="0" applyFont="1" applyAlignment="1">
      <alignment vertical="top"/>
    </xf>
    <xf numFmtId="2" fontId="7" fillId="0" borderId="0" xfId="0" applyNumberFormat="1" applyFont="1"/>
    <xf numFmtId="0" fontId="5" fillId="0" borderId="1" xfId="0" applyFont="1" applyBorder="1" applyAlignment="1">
      <alignment horizontal="center" vertical="top" wrapText="1" shrinkToFit="1"/>
    </xf>
    <xf numFmtId="0" fontId="1" fillId="0" borderId="1" xfId="0" applyFont="1" applyBorder="1" applyAlignment="1">
      <alignment vertical="top" wrapText="1"/>
    </xf>
    <xf numFmtId="4" fontId="7" fillId="0" borderId="1" xfId="0" applyNumberFormat="1" applyFont="1" applyBorder="1" applyAlignment="1">
      <alignment horizontal="right" vertical="top"/>
    </xf>
    <xf numFmtId="43" fontId="7" fillId="0" borderId="0" xfId="1" applyFont="1"/>
    <xf numFmtId="4" fontId="11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horizontal="center"/>
    </xf>
    <xf numFmtId="43" fontId="11" fillId="0" borderId="0" xfId="1" applyFont="1"/>
    <xf numFmtId="0" fontId="11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top" wrapText="1" shrinkToFit="1"/>
    </xf>
    <xf numFmtId="0" fontId="7" fillId="0" borderId="3" xfId="0" applyFont="1" applyBorder="1"/>
    <xf numFmtId="0" fontId="1" fillId="0" borderId="1" xfId="0" applyFont="1" applyBorder="1"/>
    <xf numFmtId="0" fontId="11" fillId="0" borderId="1" xfId="0" applyFont="1" applyBorder="1" applyAlignment="1">
      <alignment horizontal="center" wrapText="1"/>
    </xf>
    <xf numFmtId="43" fontId="11" fillId="0" borderId="1" xfId="1" applyFont="1" applyBorder="1"/>
    <xf numFmtId="2" fontId="10" fillId="0" borderId="1" xfId="0" applyNumberFormat="1" applyFont="1" applyBorder="1" applyAlignment="1">
      <alignment wrapText="1"/>
    </xf>
    <xf numFmtId="2" fontId="1" fillId="0" borderId="0" xfId="0" applyNumberFormat="1" applyFont="1"/>
    <xf numFmtId="2" fontId="1" fillId="0" borderId="1" xfId="1" applyNumberFormat="1" applyFont="1" applyBorder="1"/>
    <xf numFmtId="2" fontId="7" fillId="0" borderId="1" xfId="0" applyNumberFormat="1" applyFont="1" applyBorder="1" applyAlignment="1">
      <alignment vertical="top"/>
    </xf>
    <xf numFmtId="2" fontId="11" fillId="0" borderId="1" xfId="0" applyNumberFormat="1" applyFont="1" applyBorder="1"/>
    <xf numFmtId="2" fontId="11" fillId="0" borderId="0" xfId="0" applyNumberFormat="1" applyFont="1"/>
    <xf numFmtId="2" fontId="4" fillId="0" borderId="1" xfId="0" applyNumberFormat="1" applyFont="1" applyBorder="1" applyAlignment="1">
      <alignment horizontal="center" vertical="top" wrapText="1" shrinkToFit="1"/>
    </xf>
    <xf numFmtId="2" fontId="1" fillId="0" borderId="1" xfId="0" applyNumberFormat="1" applyFont="1" applyBorder="1" applyAlignment="1">
      <alignment horizontal="right" vertical="center" wrapText="1"/>
    </xf>
    <xf numFmtId="2" fontId="9" fillId="0" borderId="0" xfId="0" applyNumberFormat="1" applyFont="1" applyAlignment="1">
      <alignment horizontal="right" wrapText="1"/>
    </xf>
    <xf numFmtId="2" fontId="1" fillId="0" borderId="0" xfId="0" applyNumberFormat="1" applyFont="1" applyAlignment="1">
      <alignment vertical="top"/>
    </xf>
    <xf numFmtId="2" fontId="7" fillId="0" borderId="1" xfId="0" applyNumberFormat="1" applyFont="1" applyBorder="1"/>
    <xf numFmtId="2" fontId="11" fillId="0" borderId="0" xfId="0" applyNumberFormat="1" applyFont="1" applyAlignment="1">
      <alignment horizontal="center" vertical="top"/>
    </xf>
    <xf numFmtId="4" fontId="9" fillId="0" borderId="1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right" vertical="center" wrapText="1"/>
    </xf>
    <xf numFmtId="2" fontId="1" fillId="0" borderId="1" xfId="0" applyNumberFormat="1" applyFont="1" applyBorder="1"/>
    <xf numFmtId="0" fontId="6" fillId="0" borderId="1" xfId="0" applyFont="1" applyBorder="1" applyAlignment="1">
      <alignment vertical="top" wrapText="1"/>
    </xf>
    <xf numFmtId="0" fontId="10" fillId="0" borderId="1" xfId="0" applyFont="1" applyBorder="1"/>
    <xf numFmtId="0" fontId="1" fillId="0" borderId="1" xfId="0" applyFont="1" applyBorder="1" applyAlignment="1">
      <alignment wrapText="1"/>
    </xf>
    <xf numFmtId="2" fontId="13" fillId="0" borderId="1" xfId="0" applyNumberFormat="1" applyFont="1" applyBorder="1" applyAlignment="1">
      <alignment horizontal="right" wrapText="1"/>
    </xf>
    <xf numFmtId="0" fontId="10" fillId="0" borderId="5" xfId="0" applyFont="1" applyBorder="1"/>
    <xf numFmtId="43" fontId="10" fillId="0" borderId="6" xfId="1" applyFont="1" applyFill="1" applyBorder="1"/>
    <xf numFmtId="2" fontId="15" fillId="0" borderId="6" xfId="1" applyNumberFormat="1" applyFont="1" applyFill="1" applyBorder="1"/>
    <xf numFmtId="43" fontId="15" fillId="0" borderId="7" xfId="1" applyFont="1" applyFill="1" applyBorder="1"/>
    <xf numFmtId="0" fontId="10" fillId="0" borderId="8" xfId="0" applyFont="1" applyBorder="1" applyAlignment="1">
      <alignment wrapText="1"/>
    </xf>
    <xf numFmtId="43" fontId="10" fillId="0" borderId="0" xfId="1" applyFont="1" applyFill="1" applyBorder="1"/>
    <xf numFmtId="2" fontId="15" fillId="0" borderId="0" xfId="1" applyNumberFormat="1" applyFont="1" applyFill="1" applyBorder="1"/>
    <xf numFmtId="43" fontId="15" fillId="0" borderId="9" xfId="1" applyFont="1" applyFill="1" applyBorder="1"/>
    <xf numFmtId="0" fontId="10" fillId="0" borderId="8" xfId="0" applyFont="1" applyBorder="1"/>
    <xf numFmtId="0" fontId="10" fillId="0" borderId="0" xfId="0" applyFont="1"/>
    <xf numFmtId="2" fontId="15" fillId="0" borderId="0" xfId="0" applyNumberFormat="1" applyFont="1"/>
    <xf numFmtId="0" fontId="15" fillId="0" borderId="9" xfId="0" applyFont="1" applyBorder="1"/>
    <xf numFmtId="9" fontId="10" fillId="0" borderId="0" xfId="0" applyNumberFormat="1" applyFont="1"/>
    <xf numFmtId="10" fontId="15" fillId="0" borderId="9" xfId="0" applyNumberFormat="1" applyFont="1" applyBorder="1"/>
    <xf numFmtId="0" fontId="16" fillId="0" borderId="8" xfId="0" applyFont="1" applyBorder="1"/>
    <xf numFmtId="0" fontId="17" fillId="0" borderId="0" xfId="0" applyFont="1"/>
    <xf numFmtId="0" fontId="14" fillId="0" borderId="8" xfId="0" applyFont="1" applyBorder="1"/>
    <xf numFmtId="0" fontId="14" fillId="0" borderId="0" xfId="0" applyFont="1"/>
    <xf numFmtId="43" fontId="15" fillId="0" borderId="0" xfId="1" applyFont="1" applyFill="1" applyBorder="1"/>
    <xf numFmtId="43" fontId="18" fillId="0" borderId="9" xfId="0" applyNumberFormat="1" applyFont="1" applyBorder="1"/>
    <xf numFmtId="0" fontId="17" fillId="0" borderId="8" xfId="0" applyFont="1" applyBorder="1"/>
    <xf numFmtId="43" fontId="15" fillId="0" borderId="0" xfId="1" applyFont="1" applyBorder="1"/>
    <xf numFmtId="0" fontId="18" fillId="0" borderId="9" xfId="0" applyFont="1" applyBorder="1"/>
    <xf numFmtId="2" fontId="18" fillId="0" borderId="0" xfId="0" applyNumberFormat="1" applyFont="1"/>
    <xf numFmtId="0" fontId="18" fillId="0" borderId="8" xfId="0" applyFont="1" applyBorder="1"/>
    <xf numFmtId="0" fontId="18" fillId="0" borderId="0" xfId="0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2" fontId="0" fillId="0" borderId="11" xfId="0" applyNumberFormat="1" applyBorder="1"/>
    <xf numFmtId="0" fontId="0" fillId="0" borderId="12" xfId="0" applyBorder="1"/>
    <xf numFmtId="0" fontId="6" fillId="0" borderId="4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43" fontId="3" fillId="0" borderId="0" xfId="1" applyFont="1"/>
    <xf numFmtId="0" fontId="8" fillId="0" borderId="13" xfId="0" applyFont="1" applyBorder="1"/>
    <xf numFmtId="43" fontId="8" fillId="0" borderId="13" xfId="1" applyFont="1" applyBorder="1"/>
    <xf numFmtId="43" fontId="1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1" fillId="2" borderId="0" xfId="0" applyFont="1" applyFill="1"/>
    <xf numFmtId="0" fontId="3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666750</xdr:colOff>
      <xdr:row>1</xdr:row>
      <xdr:rowOff>152399</xdr:rowOff>
    </xdr:from>
    <xdr:to>
      <xdr:col>19</xdr:col>
      <xdr:colOff>544162</xdr:colOff>
      <xdr:row>14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86F27F-BFEC-43F4-A55F-1A7E69098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0" y="361949"/>
          <a:ext cx="4344637" cy="32670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45</xdr:row>
      <xdr:rowOff>180975</xdr:rowOff>
    </xdr:from>
    <xdr:to>
      <xdr:col>10</xdr:col>
      <xdr:colOff>543253</xdr:colOff>
      <xdr:row>64</xdr:row>
      <xdr:rowOff>135109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5A5F2B-A5DF-4FEB-8D4A-1E9CD708D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9210675"/>
          <a:ext cx="8677603" cy="3954634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342900</xdr:colOff>
      <xdr:row>4</xdr:row>
      <xdr:rowOff>190500</xdr:rowOff>
    </xdr:from>
    <xdr:to>
      <xdr:col>28</xdr:col>
      <xdr:colOff>419791</xdr:colOff>
      <xdr:row>18</xdr:row>
      <xdr:rowOff>38568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BA3A86-3043-4659-849A-CE07C15A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16325" y="1028700"/>
          <a:ext cx="4953691" cy="33532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538821</xdr:colOff>
      <xdr:row>17</xdr:row>
      <xdr:rowOff>171450</xdr:rowOff>
    </xdr:from>
    <xdr:to>
      <xdr:col>9</xdr:col>
      <xdr:colOff>134177</xdr:colOff>
      <xdr:row>32</xdr:row>
      <xdr:rowOff>333375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4C0B6D-39B9-44DE-B555-4D1BCB04E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77296" y="3657600"/>
          <a:ext cx="4653131" cy="3381375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</xdr:colOff>
      <xdr:row>20</xdr:row>
      <xdr:rowOff>171450</xdr:rowOff>
    </xdr:from>
    <xdr:to>
      <xdr:col>16</xdr:col>
      <xdr:colOff>381838</xdr:colOff>
      <xdr:row>45</xdr:row>
      <xdr:rowOff>572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748D685-B0FC-4CDB-A833-E019F4728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1625" y="4933950"/>
          <a:ext cx="6001588" cy="4096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486609</xdr:colOff>
      <xdr:row>31</xdr:row>
      <xdr:rowOff>67509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B12B96-CE3F-45E7-B35C-878A87F4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3009" cy="5973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223948</xdr:colOff>
      <xdr:row>0</xdr:row>
      <xdr:rowOff>171450</xdr:rowOff>
    </xdr:from>
    <xdr:to>
      <xdr:col>11</xdr:col>
      <xdr:colOff>363180</xdr:colOff>
      <xdr:row>34</xdr:row>
      <xdr:rowOff>58293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B0867D-AE82-49A4-8960-2985C12DF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948" y="171450"/>
          <a:ext cx="6844832" cy="6363843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161926</xdr:colOff>
      <xdr:row>10</xdr:row>
      <xdr:rowOff>152400</xdr:rowOff>
    </xdr:from>
    <xdr:to>
      <xdr:col>24</xdr:col>
      <xdr:colOff>349518</xdr:colOff>
      <xdr:row>46</xdr:row>
      <xdr:rowOff>182112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5A6701-C3B8-4F89-BC0E-BCAA94A40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6" y="2057400"/>
          <a:ext cx="7693292" cy="68877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57150</xdr:rowOff>
    </xdr:from>
    <xdr:to>
      <xdr:col>9</xdr:col>
      <xdr:colOff>391336</xdr:colOff>
      <xdr:row>32</xdr:row>
      <xdr:rowOff>134185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1B0034-5ACC-4879-895E-E62DE591E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47650"/>
          <a:ext cx="5811061" cy="5982535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0</xdr:row>
      <xdr:rowOff>76200</xdr:rowOff>
    </xdr:from>
    <xdr:to>
      <xdr:col>21</xdr:col>
      <xdr:colOff>410373</xdr:colOff>
      <xdr:row>33</xdr:row>
      <xdr:rowOff>77077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833AEC-FD50-43EC-B1EC-B29512B2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950" y="76200"/>
          <a:ext cx="5715798" cy="6287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324661</xdr:colOff>
      <xdr:row>35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9CBEA-C494-41F1-8FDB-4E9E45455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11061" cy="6801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1"/>
  <sheetViews>
    <sheetView tabSelected="1" topLeftCell="A21" zoomScaleNormal="100" workbookViewId="0">
      <selection activeCell="R47" sqref="R47"/>
    </sheetView>
  </sheetViews>
  <sheetFormatPr defaultRowHeight="16.5" x14ac:dyDescent="0.3"/>
  <cols>
    <col min="1" max="1" width="9.140625" style="35"/>
    <col min="2" max="2" width="19.5703125" style="2" bestFit="1" customWidth="1"/>
    <col min="3" max="3" width="16.85546875" style="52" customWidth="1"/>
    <col min="4" max="4" width="14.42578125" style="1" customWidth="1"/>
    <col min="5" max="5" width="13.140625" style="1" customWidth="1"/>
    <col min="6" max="6" width="9.140625" style="6" customWidth="1"/>
    <col min="7" max="7" width="13.85546875" style="6" bestFit="1" customWidth="1"/>
    <col min="8" max="8" width="11.42578125" style="6" customWidth="1"/>
    <col min="9" max="9" width="13.85546875" style="1" bestFit="1" customWidth="1"/>
    <col min="10" max="10" width="11.28515625" style="6" customWidth="1"/>
    <col min="11" max="11" width="11.5703125" style="1" customWidth="1"/>
    <col min="12" max="12" width="24.85546875" style="6" customWidth="1"/>
    <col min="13" max="13" width="13.42578125" style="6" customWidth="1"/>
    <col min="14" max="14" width="13.28515625" style="6" bestFit="1" customWidth="1"/>
    <col min="15" max="15" width="17.140625" style="1" customWidth="1"/>
    <col min="16" max="16384" width="9.140625" style="1"/>
  </cols>
  <sheetData>
    <row r="1" spans="1:14" x14ac:dyDescent="0.3">
      <c r="B1" s="10" t="s">
        <v>16</v>
      </c>
    </row>
    <row r="2" spans="1:14" x14ac:dyDescent="0.3">
      <c r="B2" s="18" t="s">
        <v>29</v>
      </c>
      <c r="C2" s="53">
        <v>7937.2</v>
      </c>
      <c r="D2" s="48"/>
      <c r="E2" s="46"/>
      <c r="F2" s="4"/>
      <c r="G2" s="20"/>
      <c r="H2" s="1"/>
    </row>
    <row r="3" spans="1:14" x14ac:dyDescent="0.3">
      <c r="B3" s="43" t="s">
        <v>9</v>
      </c>
      <c r="C3" s="54">
        <v>100000</v>
      </c>
      <c r="D3" s="22"/>
      <c r="E3" s="47"/>
      <c r="F3" s="21"/>
      <c r="G3" s="11"/>
      <c r="H3" s="1"/>
    </row>
    <row r="4" spans="1:14" x14ac:dyDescent="0.3">
      <c r="B4" s="49" t="s">
        <v>22</v>
      </c>
      <c r="C4" s="55">
        <f>ROUND((C2*C3),0)</f>
        <v>793720000</v>
      </c>
      <c r="D4" s="50">
        <f>D3*C2</f>
        <v>0</v>
      </c>
      <c r="E4" s="17"/>
      <c r="F4" s="17"/>
      <c r="G4" s="17"/>
    </row>
    <row r="5" spans="1:14" x14ac:dyDescent="0.3">
      <c r="B5" s="45"/>
      <c r="C5" s="56"/>
      <c r="D5" s="44"/>
      <c r="E5" s="17"/>
      <c r="F5" s="17"/>
      <c r="G5" s="17"/>
    </row>
    <row r="6" spans="1:14" x14ac:dyDescent="0.3">
      <c r="B6" s="10" t="s">
        <v>17</v>
      </c>
    </row>
    <row r="7" spans="1:14" s="3" customFormat="1" ht="58.5" customHeight="1" x14ac:dyDescent="0.2">
      <c r="B7" s="4" t="s">
        <v>0</v>
      </c>
      <c r="C7" s="57" t="s">
        <v>27</v>
      </c>
      <c r="D7" s="4" t="s">
        <v>1</v>
      </c>
      <c r="E7" s="4" t="s">
        <v>3</v>
      </c>
      <c r="F7" s="4" t="s">
        <v>4</v>
      </c>
      <c r="G7" s="38" t="s">
        <v>8</v>
      </c>
      <c r="H7" s="4" t="s">
        <v>2</v>
      </c>
      <c r="I7" s="38" t="s">
        <v>5</v>
      </c>
      <c r="J7" s="38" t="s">
        <v>6</v>
      </c>
      <c r="K7" s="4" t="s">
        <v>20</v>
      </c>
      <c r="L7" s="4" t="s">
        <v>21</v>
      </c>
      <c r="M7" s="4" t="s">
        <v>7</v>
      </c>
    </row>
    <row r="8" spans="1:14" x14ac:dyDescent="0.3">
      <c r="B8" s="70" t="s">
        <v>35</v>
      </c>
      <c r="C8" s="52">
        <f>165.85 + 58.87</f>
        <v>224.72</v>
      </c>
      <c r="D8" s="26">
        <v>2013</v>
      </c>
      <c r="E8" s="26">
        <v>2025</v>
      </c>
      <c r="F8" s="26">
        <v>60</v>
      </c>
      <c r="G8" s="63">
        <v>25000</v>
      </c>
      <c r="H8" s="64">
        <f>E8-D8</f>
        <v>12</v>
      </c>
      <c r="I8" s="64">
        <f>IF(H8&gt;=5,90*H8/F8,0)</f>
        <v>18</v>
      </c>
      <c r="J8" s="65">
        <f>G8/100*I8</f>
        <v>4500</v>
      </c>
      <c r="K8" s="65">
        <f t="shared" ref="K8" si="0">ROUND((G8-J8),0)</f>
        <v>20500</v>
      </c>
      <c r="L8" s="65">
        <f>K8*C8</f>
        <v>4606760</v>
      </c>
      <c r="M8" s="65">
        <f>C8*G8</f>
        <v>5618000</v>
      </c>
    </row>
    <row r="9" spans="1:14" x14ac:dyDescent="0.3">
      <c r="B9" s="69" t="s">
        <v>56</v>
      </c>
      <c r="D9" s="26"/>
      <c r="E9" s="26"/>
      <c r="F9" s="26"/>
      <c r="G9" s="63"/>
      <c r="H9" s="64"/>
      <c r="I9" s="64"/>
      <c r="J9" s="65"/>
      <c r="K9" s="65"/>
      <c r="L9" s="65"/>
      <c r="M9" s="65"/>
    </row>
    <row r="10" spans="1:14" x14ac:dyDescent="0.3">
      <c r="A10" s="3"/>
      <c r="B10" s="69" t="s">
        <v>32</v>
      </c>
      <c r="C10" s="58">
        <f>202.056+41.26</f>
        <v>243.316</v>
      </c>
      <c r="D10" s="26">
        <v>2013</v>
      </c>
      <c r="E10" s="26">
        <v>2025</v>
      </c>
      <c r="F10" s="26">
        <v>60</v>
      </c>
      <c r="G10" s="63">
        <v>28000</v>
      </c>
      <c r="H10" s="64">
        <f>E10-D10</f>
        <v>12</v>
      </c>
      <c r="I10" s="64">
        <f>IF(H10&gt;=5,90*H10/F10,0)</f>
        <v>18</v>
      </c>
      <c r="J10" s="65">
        <f>G10/100*I10</f>
        <v>5040</v>
      </c>
      <c r="K10" s="65">
        <f t="shared" ref="K10" si="1">ROUND((G10-J10),0)</f>
        <v>22960</v>
      </c>
      <c r="L10" s="65">
        <f>K10*C10</f>
        <v>5586535.3600000003</v>
      </c>
      <c r="M10" s="65">
        <f>C10*G10</f>
        <v>6812848</v>
      </c>
    </row>
    <row r="11" spans="1:14" x14ac:dyDescent="0.3">
      <c r="A11" s="3"/>
      <c r="B11" s="69" t="s">
        <v>56</v>
      </c>
      <c r="C11" s="58"/>
      <c r="D11" s="26"/>
      <c r="E11" s="26"/>
      <c r="F11" s="26"/>
      <c r="G11" s="63"/>
      <c r="H11" s="64"/>
      <c r="I11" s="64"/>
      <c r="J11" s="65"/>
      <c r="K11" s="65"/>
      <c r="L11" s="65"/>
      <c r="M11" s="65"/>
    </row>
    <row r="12" spans="1:14" ht="18" customHeight="1" x14ac:dyDescent="0.3">
      <c r="A12" s="3"/>
      <c r="B12" s="51" t="s">
        <v>33</v>
      </c>
      <c r="C12" s="58">
        <f>348.14 + 40.12</f>
        <v>388.26</v>
      </c>
      <c r="D12" s="26">
        <v>2013</v>
      </c>
      <c r="E12" s="26">
        <v>2025</v>
      </c>
      <c r="F12" s="26">
        <v>60</v>
      </c>
      <c r="G12" s="63">
        <v>28000</v>
      </c>
      <c r="H12" s="64">
        <f t="shared" ref="H12:H14" si="2">E12-D12</f>
        <v>12</v>
      </c>
      <c r="I12" s="64">
        <f t="shared" ref="I12:I14" si="3">IF(H12&gt;=5,90*H12/F12,0)</f>
        <v>18</v>
      </c>
      <c r="J12" s="65">
        <f t="shared" ref="J12:J14" si="4">G12/100*I12</f>
        <v>5040</v>
      </c>
      <c r="K12" s="65">
        <f t="shared" ref="K12:K14" si="5">ROUND((G12-J12),0)</f>
        <v>22960</v>
      </c>
      <c r="L12" s="65">
        <f t="shared" ref="L12:L14" si="6">K12*C12</f>
        <v>8914449.5999999996</v>
      </c>
      <c r="M12" s="65">
        <f t="shared" ref="M12" si="7">C12*G12</f>
        <v>10871280</v>
      </c>
      <c r="N12" s="9"/>
    </row>
    <row r="13" spans="1:14" ht="18" customHeight="1" x14ac:dyDescent="0.3">
      <c r="A13" s="3"/>
      <c r="B13" s="69" t="s">
        <v>56</v>
      </c>
      <c r="C13" s="58"/>
      <c r="D13" s="26"/>
      <c r="E13" s="26"/>
      <c r="F13" s="26"/>
      <c r="G13" s="63"/>
      <c r="H13" s="64"/>
      <c r="I13" s="64"/>
      <c r="J13" s="65"/>
      <c r="K13" s="65"/>
      <c r="L13" s="65"/>
      <c r="M13" s="65"/>
      <c r="N13" s="9"/>
    </row>
    <row r="14" spans="1:14" x14ac:dyDescent="0.3">
      <c r="B14" s="51" t="s">
        <v>34</v>
      </c>
      <c r="C14" s="58">
        <v>51.902999999999999</v>
      </c>
      <c r="D14" s="26">
        <v>2013</v>
      </c>
      <c r="E14" s="26">
        <v>2025</v>
      </c>
      <c r="F14" s="26">
        <v>60</v>
      </c>
      <c r="G14" s="63">
        <v>28000</v>
      </c>
      <c r="H14" s="64">
        <f t="shared" si="2"/>
        <v>12</v>
      </c>
      <c r="I14" s="64">
        <f t="shared" si="3"/>
        <v>18</v>
      </c>
      <c r="J14" s="65">
        <f t="shared" si="4"/>
        <v>5040</v>
      </c>
      <c r="K14" s="65">
        <f t="shared" si="5"/>
        <v>22960</v>
      </c>
      <c r="L14" s="65">
        <f t="shared" si="6"/>
        <v>1191692.8799999999</v>
      </c>
      <c r="M14" s="65">
        <f>C14*G14</f>
        <v>1453284</v>
      </c>
      <c r="N14" s="9"/>
    </row>
    <row r="15" spans="1:14" x14ac:dyDescent="0.3">
      <c r="B15" s="39"/>
      <c r="C15" s="66"/>
      <c r="D15" s="26"/>
      <c r="E15" s="26"/>
      <c r="F15" s="26"/>
      <c r="G15" s="63"/>
      <c r="H15" s="64"/>
      <c r="I15" s="64"/>
      <c r="J15" s="65"/>
      <c r="K15" s="65"/>
      <c r="L15" s="65"/>
      <c r="M15" s="65"/>
      <c r="N15" s="9"/>
    </row>
    <row r="16" spans="1:14" x14ac:dyDescent="0.3">
      <c r="B16" s="39"/>
      <c r="C16" s="66"/>
      <c r="D16" s="26"/>
      <c r="E16" s="26"/>
      <c r="F16" s="26"/>
      <c r="G16" s="63"/>
      <c r="H16" s="64"/>
      <c r="I16" s="64"/>
      <c r="J16" s="65"/>
      <c r="K16" s="65"/>
      <c r="L16" s="65"/>
      <c r="M16" s="65"/>
      <c r="N16" s="9"/>
    </row>
    <row r="17" spans="2:20" x14ac:dyDescent="0.3">
      <c r="B17" s="68" t="s">
        <v>30</v>
      </c>
      <c r="C17" s="71">
        <f>SUM(C8:C16)</f>
        <v>908.19900000000007</v>
      </c>
      <c r="D17" s="26"/>
      <c r="E17" s="26"/>
      <c r="F17" s="26"/>
      <c r="G17" s="40"/>
      <c r="H17" s="5"/>
      <c r="I17" s="5"/>
      <c r="J17" s="11"/>
      <c r="K17" s="42"/>
      <c r="L17" s="42">
        <f>SUM(L8:L16)</f>
        <v>20299437.84</v>
      </c>
      <c r="M17" s="42">
        <f>SUM(M8:M16)</f>
        <v>24755412</v>
      </c>
      <c r="N17" s="9"/>
    </row>
    <row r="18" spans="2:20" x14ac:dyDescent="0.3">
      <c r="B18" s="7"/>
      <c r="C18" s="59"/>
      <c r="D18" s="33"/>
      <c r="E18" s="33"/>
      <c r="F18" s="33"/>
      <c r="G18" s="34"/>
      <c r="H18" s="9"/>
      <c r="I18" s="9"/>
      <c r="J18" s="12"/>
      <c r="K18" s="12"/>
      <c r="L18" s="12"/>
      <c r="M18" s="12"/>
      <c r="N18" s="9"/>
    </row>
    <row r="19" spans="2:20" x14ac:dyDescent="0.3">
      <c r="B19" s="7"/>
      <c r="C19" s="60"/>
      <c r="D19" s="8"/>
      <c r="E19" s="36"/>
      <c r="F19" s="36"/>
      <c r="G19" s="34"/>
      <c r="H19" s="9"/>
      <c r="I19" s="8"/>
      <c r="J19" s="12"/>
      <c r="K19" s="13"/>
      <c r="L19" s="23"/>
      <c r="M19" s="23"/>
      <c r="N19" s="9"/>
    </row>
    <row r="20" spans="2:20" x14ac:dyDescent="0.3">
      <c r="B20" s="103" t="s">
        <v>24</v>
      </c>
      <c r="C20" s="103"/>
      <c r="D20" s="8"/>
      <c r="E20" s="36"/>
      <c r="F20" s="36"/>
      <c r="G20" s="23"/>
      <c r="H20" s="9"/>
      <c r="I20" s="8"/>
      <c r="J20" s="12"/>
      <c r="K20" s="13"/>
      <c r="L20" s="23"/>
      <c r="M20" s="23"/>
      <c r="N20" s="9"/>
    </row>
    <row r="21" spans="2:20" x14ac:dyDescent="0.3">
      <c r="B21" s="18" t="s">
        <v>23</v>
      </c>
      <c r="C21" s="61">
        <v>0</v>
      </c>
      <c r="D21" s="8"/>
      <c r="E21" s="36"/>
      <c r="F21" s="36"/>
      <c r="G21" s="36"/>
      <c r="H21" s="9"/>
      <c r="I21" s="8"/>
      <c r="J21" s="12"/>
      <c r="K21" s="13"/>
      <c r="L21" s="23"/>
      <c r="M21" s="23"/>
      <c r="N21" s="9"/>
    </row>
    <row r="22" spans="2:20" x14ac:dyDescent="0.3">
      <c r="B22" s="19" t="s">
        <v>9</v>
      </c>
      <c r="C22" s="54">
        <v>0</v>
      </c>
      <c r="F22" s="1"/>
      <c r="H22" s="1"/>
      <c r="I22" s="8"/>
      <c r="J22" s="12"/>
      <c r="K22" s="13"/>
      <c r="L22" s="23"/>
      <c r="M22" s="23"/>
      <c r="N22" s="9"/>
    </row>
    <row r="23" spans="2:20" x14ac:dyDescent="0.3">
      <c r="B23" s="19" t="s">
        <v>10</v>
      </c>
      <c r="C23" s="67">
        <f>ROUND((C21*C22),0)</f>
        <v>0</v>
      </c>
      <c r="F23" s="1"/>
      <c r="G23" s="1"/>
      <c r="H23" s="1"/>
      <c r="I23" s="8"/>
      <c r="J23" s="12"/>
      <c r="K23" s="13"/>
      <c r="L23" s="23"/>
      <c r="M23" s="23">
        <f>C17*10.764</f>
        <v>9775.8540360000006</v>
      </c>
      <c r="N23" s="9"/>
      <c r="T23" s="1" t="s">
        <v>58</v>
      </c>
    </row>
    <row r="24" spans="2:20" x14ac:dyDescent="0.3">
      <c r="B24" s="7"/>
      <c r="C24" s="60"/>
      <c r="F24" s="1"/>
      <c r="G24" s="1"/>
      <c r="H24" s="1"/>
      <c r="I24" s="8"/>
      <c r="J24" s="12"/>
      <c r="K24" s="13"/>
      <c r="L24" s="23"/>
      <c r="M24" s="23"/>
      <c r="N24" s="9"/>
    </row>
    <row r="25" spans="2:20" ht="22.5" customHeight="1" x14ac:dyDescent="0.3">
      <c r="B25" s="104" t="s">
        <v>18</v>
      </c>
      <c r="C25" s="105"/>
      <c r="F25" s="1"/>
      <c r="G25" s="1"/>
      <c r="H25" s="1"/>
      <c r="I25" s="8"/>
      <c r="J25" s="9"/>
      <c r="K25" s="8"/>
      <c r="L25" s="9"/>
      <c r="M25" s="9"/>
      <c r="N25" s="9"/>
    </row>
    <row r="26" spans="2:20" x14ac:dyDescent="0.3">
      <c r="B26" s="18" t="s">
        <v>14</v>
      </c>
      <c r="C26" s="61">
        <f>C2-C10</f>
        <v>7693.884</v>
      </c>
      <c r="F26" s="1"/>
      <c r="G26" s="1"/>
      <c r="H26" s="1"/>
      <c r="K26" s="16"/>
      <c r="T26" s="1">
        <v>35</v>
      </c>
    </row>
    <row r="27" spans="2:20" x14ac:dyDescent="0.3">
      <c r="B27" s="19" t="s">
        <v>9</v>
      </c>
      <c r="C27" s="54">
        <v>1000</v>
      </c>
      <c r="F27" s="1"/>
      <c r="G27" s="1"/>
      <c r="H27" s="1"/>
      <c r="K27" s="16"/>
    </row>
    <row r="28" spans="2:20" x14ac:dyDescent="0.3">
      <c r="B28" s="19" t="s">
        <v>10</v>
      </c>
      <c r="C28" s="67">
        <f>C26*C27</f>
        <v>7693884</v>
      </c>
      <c r="F28" s="1"/>
      <c r="G28" s="1"/>
      <c r="H28" s="1"/>
      <c r="K28" s="16"/>
    </row>
    <row r="29" spans="2:20" x14ac:dyDescent="0.3">
      <c r="B29" s="35"/>
      <c r="C29" s="37"/>
      <c r="F29" s="1"/>
      <c r="G29" s="1"/>
      <c r="H29" s="1"/>
      <c r="K29" s="16"/>
    </row>
    <row r="30" spans="2:20" x14ac:dyDescent="0.3">
      <c r="C30" s="62" t="s">
        <v>26</v>
      </c>
      <c r="F30" s="1"/>
      <c r="G30" s="1"/>
      <c r="H30" s="1"/>
      <c r="K30" s="16"/>
    </row>
    <row r="31" spans="2:20" x14ac:dyDescent="0.3">
      <c r="B31" s="2" t="s">
        <v>16</v>
      </c>
      <c r="C31" s="41">
        <f>C4</f>
        <v>793720000</v>
      </c>
      <c r="F31" s="1"/>
      <c r="G31" s="1"/>
      <c r="H31" s="1"/>
      <c r="K31" s="14"/>
    </row>
    <row r="32" spans="2:20" x14ac:dyDescent="0.3">
      <c r="B32" s="2" t="s">
        <v>17</v>
      </c>
      <c r="C32" s="41">
        <f>L17</f>
        <v>20299437.84</v>
      </c>
      <c r="F32" s="1"/>
      <c r="G32" s="1"/>
      <c r="H32" s="1"/>
      <c r="K32" s="15"/>
    </row>
    <row r="33" spans="2:13" ht="33" x14ac:dyDescent="0.3">
      <c r="B33" s="2" t="s">
        <v>25</v>
      </c>
      <c r="C33" s="41">
        <f>C23</f>
        <v>0</v>
      </c>
      <c r="F33" s="1"/>
      <c r="G33" s="1"/>
      <c r="H33" s="1"/>
      <c r="K33" s="15"/>
    </row>
    <row r="34" spans="2:13" x14ac:dyDescent="0.3">
      <c r="B34" s="2" t="s">
        <v>15</v>
      </c>
      <c r="C34" s="41">
        <f>C28</f>
        <v>7693884</v>
      </c>
      <c r="F34" s="1"/>
      <c r="G34" s="1"/>
      <c r="H34" s="1"/>
      <c r="K34" s="15"/>
    </row>
    <row r="35" spans="2:13" x14ac:dyDescent="0.3">
      <c r="B35" s="10" t="s">
        <v>11</v>
      </c>
      <c r="C35" s="44">
        <f>C31+C32+C33+C34</f>
        <v>821713321.84000003</v>
      </c>
      <c r="F35" s="1"/>
      <c r="G35" s="1"/>
      <c r="H35" s="1"/>
    </row>
    <row r="36" spans="2:13" x14ac:dyDescent="0.3">
      <c r="B36" s="10" t="s">
        <v>12</v>
      </c>
      <c r="C36" s="44">
        <f>ROUND((C35*0.9),0)</f>
        <v>739541990</v>
      </c>
      <c r="F36" s="1"/>
      <c r="G36" s="113" t="s">
        <v>72</v>
      </c>
      <c r="H36" s="113"/>
      <c r="I36" s="113"/>
      <c r="J36" s="114"/>
    </row>
    <row r="37" spans="2:13" hidden="1" x14ac:dyDescent="0.3">
      <c r="B37" s="24" t="s">
        <v>10</v>
      </c>
      <c r="C37" s="41">
        <f>C35*0.8</f>
        <v>657370657.47200012</v>
      </c>
      <c r="F37" s="1"/>
      <c r="G37" s="1"/>
      <c r="H37" s="1"/>
    </row>
    <row r="38" spans="2:13" hidden="1" x14ac:dyDescent="0.3">
      <c r="B38" s="25"/>
      <c r="C38" s="41">
        <f>ROUNDUP(C37,0)</f>
        <v>657370658</v>
      </c>
      <c r="F38" s="1"/>
      <c r="G38" s="1"/>
      <c r="H38" s="1"/>
    </row>
    <row r="39" spans="2:13" hidden="1" x14ac:dyDescent="0.3">
      <c r="B39" s="25"/>
      <c r="C39" s="41">
        <f>C38-C37</f>
        <v>0.5279998779296875</v>
      </c>
      <c r="F39" s="1"/>
      <c r="G39" s="1"/>
      <c r="H39" s="1"/>
    </row>
    <row r="40" spans="2:13" x14ac:dyDescent="0.3">
      <c r="B40" s="10" t="s">
        <v>13</v>
      </c>
      <c r="C40" s="44">
        <f>ROUND((C35*0.8),0)</f>
        <v>657370657</v>
      </c>
      <c r="F40" s="1"/>
      <c r="G40" s="1"/>
      <c r="H40" s="1"/>
    </row>
    <row r="41" spans="2:13" hidden="1" x14ac:dyDescent="0.3">
      <c r="B41" s="6" t="s">
        <v>10</v>
      </c>
      <c r="C41" s="44" t="e">
        <f>#REF!</f>
        <v>#REF!</v>
      </c>
      <c r="F41" s="1"/>
      <c r="G41" s="1"/>
      <c r="H41" s="1"/>
    </row>
    <row r="42" spans="2:13" hidden="1" x14ac:dyDescent="0.3">
      <c r="B42" s="24"/>
      <c r="C42" s="41" t="e">
        <f>ROUNDUP(C41,0)</f>
        <v>#REF!</v>
      </c>
      <c r="F42" s="1"/>
      <c r="G42" s="1"/>
      <c r="H42" s="1"/>
    </row>
    <row r="43" spans="2:13" hidden="1" x14ac:dyDescent="0.3">
      <c r="B43" s="24"/>
      <c r="C43" s="41" t="e">
        <f>C42-C41</f>
        <v>#REF!</v>
      </c>
      <c r="F43" s="1"/>
      <c r="G43" s="1"/>
      <c r="H43" s="1"/>
    </row>
    <row r="44" spans="2:13" x14ac:dyDescent="0.3">
      <c r="B44" s="10" t="s">
        <v>19</v>
      </c>
      <c r="C44" s="44">
        <f>M17*85%</f>
        <v>21042100.199999999</v>
      </c>
      <c r="F44" s="1"/>
      <c r="G44" s="1"/>
      <c r="H44" s="1"/>
      <c r="M44" s="27"/>
    </row>
    <row r="45" spans="2:13" x14ac:dyDescent="0.3">
      <c r="B45" s="2" t="s">
        <v>28</v>
      </c>
      <c r="C45" s="41">
        <f>D4+C32</f>
        <v>20299437.84</v>
      </c>
      <c r="F45" s="1"/>
      <c r="G45" s="1"/>
      <c r="H45" s="1"/>
      <c r="M45" s="27"/>
    </row>
    <row r="46" spans="2:13" x14ac:dyDescent="0.3">
      <c r="F46" s="1"/>
      <c r="G46" s="1"/>
      <c r="H46" s="1"/>
      <c r="M46" s="27"/>
    </row>
    <row r="47" spans="2:13" x14ac:dyDescent="0.3">
      <c r="F47" s="1"/>
      <c r="G47" s="1"/>
      <c r="H47" s="1"/>
      <c r="K47" s="28"/>
    </row>
    <row r="48" spans="2:13" x14ac:dyDescent="0.3">
      <c r="F48" s="1"/>
      <c r="G48" s="1"/>
      <c r="H48" s="1"/>
      <c r="K48" s="28"/>
    </row>
    <row r="49" spans="4:16" x14ac:dyDescent="0.3">
      <c r="F49" s="1"/>
      <c r="G49" s="1"/>
      <c r="H49" s="1"/>
      <c r="K49" s="28"/>
      <c r="L49" s="110" t="s">
        <v>70</v>
      </c>
      <c r="M49" s="111" t="s">
        <v>71</v>
      </c>
      <c r="N49" s="112" t="s">
        <v>66</v>
      </c>
      <c r="O49" s="112" t="s">
        <v>10</v>
      </c>
      <c r="P49" s="6"/>
    </row>
    <row r="50" spans="4:16" x14ac:dyDescent="0.3">
      <c r="F50" s="1"/>
      <c r="G50" s="1"/>
      <c r="H50" s="1"/>
      <c r="K50" s="28"/>
      <c r="L50" s="6" t="s">
        <v>62</v>
      </c>
      <c r="M50" s="6">
        <v>1030</v>
      </c>
      <c r="N50" s="6">
        <v>35000</v>
      </c>
      <c r="O50" s="106">
        <f>M50*N50</f>
        <v>36050000</v>
      </c>
      <c r="P50" s="6"/>
    </row>
    <row r="51" spans="4:16" x14ac:dyDescent="0.3">
      <c r="F51" s="1"/>
      <c r="G51" s="1"/>
      <c r="H51" s="1"/>
      <c r="K51" s="28"/>
      <c r="L51" s="6" t="s">
        <v>63</v>
      </c>
      <c r="M51" s="6">
        <v>1066</v>
      </c>
      <c r="N51" s="6">
        <v>35000</v>
      </c>
      <c r="O51" s="106">
        <f t="shared" ref="O51:O58" si="8">M51*N51</f>
        <v>37310000</v>
      </c>
      <c r="P51" s="6"/>
    </row>
    <row r="52" spans="4:16" x14ac:dyDescent="0.3">
      <c r="D52" s="6"/>
      <c r="E52" s="6"/>
      <c r="H52" s="17"/>
      <c r="K52" s="28"/>
      <c r="L52" s="6" t="s">
        <v>64</v>
      </c>
      <c r="M52" s="6">
        <v>558</v>
      </c>
      <c r="N52" s="6">
        <v>35000</v>
      </c>
      <c r="O52" s="106">
        <f t="shared" si="8"/>
        <v>19530000</v>
      </c>
      <c r="P52" s="6"/>
    </row>
    <row r="53" spans="4:16" x14ac:dyDescent="0.3">
      <c r="D53" s="6"/>
      <c r="E53" s="6"/>
      <c r="H53" s="17"/>
      <c r="K53" s="28"/>
      <c r="L53" s="6" t="s">
        <v>32</v>
      </c>
      <c r="M53" s="30">
        <v>2086</v>
      </c>
      <c r="N53" s="6">
        <v>60000</v>
      </c>
      <c r="O53" s="106">
        <f t="shared" si="8"/>
        <v>125160000</v>
      </c>
      <c r="P53" s="6"/>
    </row>
    <row r="54" spans="4:16" x14ac:dyDescent="0.3">
      <c r="E54" s="17"/>
      <c r="F54" s="17"/>
      <c r="G54" s="17"/>
      <c r="H54" s="17"/>
      <c r="K54" s="28"/>
      <c r="L54" s="6" t="s">
        <v>60</v>
      </c>
      <c r="M54" s="30">
        <v>3015</v>
      </c>
      <c r="N54" s="6">
        <v>40000</v>
      </c>
      <c r="O54" s="106">
        <f t="shared" si="8"/>
        <v>120600000</v>
      </c>
      <c r="P54" s="6"/>
    </row>
    <row r="55" spans="4:16" x14ac:dyDescent="0.3">
      <c r="E55" s="17"/>
      <c r="F55" s="17"/>
      <c r="G55" s="17"/>
      <c r="H55" s="17"/>
      <c r="L55" s="6" t="s">
        <v>65</v>
      </c>
      <c r="M55" s="6">
        <v>446</v>
      </c>
      <c r="N55" s="6">
        <v>40000</v>
      </c>
      <c r="O55" s="106">
        <f t="shared" si="8"/>
        <v>17840000</v>
      </c>
      <c r="P55" s="6"/>
    </row>
    <row r="56" spans="4:16" x14ac:dyDescent="0.3">
      <c r="E56" s="17"/>
      <c r="F56" s="17"/>
      <c r="G56" s="17"/>
      <c r="H56" s="17"/>
      <c r="L56" s="6" t="s">
        <v>59</v>
      </c>
      <c r="M56" s="30">
        <v>446</v>
      </c>
      <c r="N56" s="6">
        <v>40000</v>
      </c>
      <c r="O56" s="106">
        <f t="shared" si="8"/>
        <v>17840000</v>
      </c>
    </row>
    <row r="57" spans="4:16" x14ac:dyDescent="0.3">
      <c r="L57" s="6" t="s">
        <v>61</v>
      </c>
      <c r="M57" s="6">
        <f>12965*40%</f>
        <v>5186</v>
      </c>
      <c r="N57" s="6">
        <v>31000</v>
      </c>
      <c r="O57" s="106">
        <f t="shared" si="8"/>
        <v>160766000</v>
      </c>
    </row>
    <row r="58" spans="4:16" x14ac:dyDescent="0.3">
      <c r="L58" s="6" t="s">
        <v>68</v>
      </c>
      <c r="M58" s="6">
        <f>3461*25%</f>
        <v>865.25</v>
      </c>
      <c r="N58" s="6">
        <v>30000</v>
      </c>
      <c r="O58" s="106">
        <f t="shared" si="8"/>
        <v>25957500</v>
      </c>
    </row>
    <row r="59" spans="4:16" x14ac:dyDescent="0.3">
      <c r="L59" s="6" t="s">
        <v>69</v>
      </c>
      <c r="M59" s="6">
        <v>5993</v>
      </c>
      <c r="N59" s="6">
        <v>3000</v>
      </c>
      <c r="O59" s="106">
        <f>M59*N59</f>
        <v>17979000</v>
      </c>
    </row>
    <row r="60" spans="4:16" ht="17.25" thickBot="1" x14ac:dyDescent="0.35">
      <c r="L60" s="107"/>
      <c r="M60" s="107" t="s">
        <v>67</v>
      </c>
      <c r="N60" s="107"/>
      <c r="O60" s="108">
        <f>SUM(O50:O59)</f>
        <v>579032500</v>
      </c>
    </row>
    <row r="61" spans="4:16" ht="17.25" thickTop="1" x14ac:dyDescent="0.3"/>
    <row r="63" spans="4:16" x14ac:dyDescent="0.3">
      <c r="O63" s="106"/>
    </row>
    <row r="65" spans="6:15" x14ac:dyDescent="0.3">
      <c r="O65" s="109"/>
    </row>
    <row r="66" spans="6:15" x14ac:dyDescent="0.3">
      <c r="F66" s="29"/>
      <c r="G66" s="29"/>
      <c r="H66" s="29"/>
      <c r="I66" s="10"/>
    </row>
    <row r="67" spans="6:15" x14ac:dyDescent="0.3">
      <c r="F67" s="27"/>
      <c r="G67" s="1"/>
      <c r="H67" s="27"/>
    </row>
    <row r="68" spans="6:15" x14ac:dyDescent="0.3">
      <c r="F68" s="27"/>
      <c r="G68" s="27"/>
      <c r="H68" s="30"/>
    </row>
    <row r="69" spans="6:15" x14ac:dyDescent="0.3">
      <c r="F69" s="27"/>
      <c r="G69" s="27"/>
      <c r="H69" s="27"/>
    </row>
    <row r="70" spans="6:15" x14ac:dyDescent="0.3">
      <c r="F70" s="27"/>
      <c r="G70" s="31"/>
      <c r="H70" s="27"/>
    </row>
    <row r="71" spans="6:15" x14ac:dyDescent="0.3">
      <c r="F71" s="27"/>
      <c r="G71" s="27"/>
      <c r="H71" s="27"/>
    </row>
    <row r="72" spans="6:15" x14ac:dyDescent="0.3">
      <c r="F72" s="27"/>
      <c r="G72" s="27"/>
      <c r="H72" s="27"/>
    </row>
    <row r="73" spans="6:15" x14ac:dyDescent="0.3">
      <c r="F73" s="27"/>
      <c r="G73" s="27"/>
      <c r="H73" s="27"/>
    </row>
    <row r="74" spans="6:15" x14ac:dyDescent="0.3">
      <c r="F74" s="27"/>
      <c r="G74" s="27"/>
      <c r="H74" s="27"/>
    </row>
    <row r="75" spans="6:15" x14ac:dyDescent="0.3">
      <c r="F75" s="27"/>
      <c r="G75" s="27"/>
      <c r="H75" s="27"/>
    </row>
    <row r="76" spans="6:15" x14ac:dyDescent="0.3">
      <c r="F76" s="27"/>
      <c r="G76" s="27"/>
      <c r="H76" s="27"/>
    </row>
    <row r="82" spans="6:6" x14ac:dyDescent="0.3">
      <c r="F82" s="32"/>
    </row>
    <row r="83" spans="6:6" x14ac:dyDescent="0.3">
      <c r="F83" s="32"/>
    </row>
    <row r="84" spans="6:6" x14ac:dyDescent="0.3">
      <c r="F84" s="32"/>
    </row>
    <row r="85" spans="6:6" x14ac:dyDescent="0.3">
      <c r="F85" s="32"/>
    </row>
    <row r="86" spans="6:6" x14ac:dyDescent="0.3">
      <c r="F86" s="32"/>
    </row>
    <row r="87" spans="6:6" x14ac:dyDescent="0.3">
      <c r="F87" s="32"/>
    </row>
    <row r="88" spans="6:6" x14ac:dyDescent="0.3">
      <c r="F88" s="32"/>
    </row>
    <row r="89" spans="6:6" x14ac:dyDescent="0.3">
      <c r="F89" s="32"/>
    </row>
    <row r="90" spans="6:6" x14ac:dyDescent="0.3">
      <c r="F90" s="32"/>
    </row>
    <row r="91" spans="6:6" x14ac:dyDescent="0.3">
      <c r="F91" s="32"/>
    </row>
  </sheetData>
  <mergeCells count="2">
    <mergeCell ref="B20:C20"/>
    <mergeCell ref="B25:C25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2E028-920B-4FD3-A9EB-F34FAC901563}">
  <dimension ref="L13:M14"/>
  <sheetViews>
    <sheetView workbookViewId="0">
      <selection activeCell="P19" sqref="P19"/>
    </sheetView>
  </sheetViews>
  <sheetFormatPr defaultRowHeight="15" x14ac:dyDescent="0.25"/>
  <cols>
    <col min="12" max="12" width="13.42578125" customWidth="1"/>
  </cols>
  <sheetData>
    <row r="13" spans="12:13" x14ac:dyDescent="0.25">
      <c r="L13">
        <f>220000000/964.34</f>
        <v>228135.30497542361</v>
      </c>
      <c r="M13" t="s">
        <v>57</v>
      </c>
    </row>
    <row r="14" spans="12:13" x14ac:dyDescent="0.25">
      <c r="L14">
        <f>L13/10.764</f>
        <v>21194.286972818991</v>
      </c>
      <c r="M14" t="s">
        <v>49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A245-269C-43C0-9198-28A04C9B93FD}">
  <dimension ref="N10:Z19"/>
  <sheetViews>
    <sheetView topLeftCell="A13" workbookViewId="0">
      <selection activeCell="AB34" sqref="AB34"/>
    </sheetView>
  </sheetViews>
  <sheetFormatPr defaultRowHeight="15" x14ac:dyDescent="0.25"/>
  <cols>
    <col min="14" max="14" width="12" customWidth="1"/>
  </cols>
  <sheetData>
    <row r="10" spans="14:14" x14ac:dyDescent="0.25">
      <c r="N10">
        <f>58000000/2500</f>
        <v>23200</v>
      </c>
    </row>
    <row r="19" spans="26:26" x14ac:dyDescent="0.25">
      <c r="Z19">
        <f>280000000/800</f>
        <v>350000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1019-DC97-4C74-8B98-507E06EEB891}">
  <dimension ref="K7:W9"/>
  <sheetViews>
    <sheetView topLeftCell="A4" workbookViewId="0">
      <selection activeCell="W9" sqref="W9"/>
    </sheetView>
  </sheetViews>
  <sheetFormatPr defaultRowHeight="15" x14ac:dyDescent="0.25"/>
  <cols>
    <col min="11" max="11" width="10.7109375" customWidth="1"/>
  </cols>
  <sheetData>
    <row r="7" spans="11:23" x14ac:dyDescent="0.25">
      <c r="K7">
        <f>250000000/873</f>
        <v>286368.84306987398</v>
      </c>
      <c r="L7" t="s">
        <v>31</v>
      </c>
    </row>
    <row r="9" spans="11:23" x14ac:dyDescent="0.25">
      <c r="W9">
        <f>210000000/873</f>
        <v>240549.82817869415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F2914-B16A-4AD3-B94A-F45AC926C881}">
  <dimension ref="L10"/>
  <sheetViews>
    <sheetView workbookViewId="0">
      <selection activeCell="L10" sqref="L10"/>
    </sheetView>
  </sheetViews>
  <sheetFormatPr defaultRowHeight="15" x14ac:dyDescent="0.25"/>
  <sheetData>
    <row r="10" spans="12:12" x14ac:dyDescent="0.25">
      <c r="L10">
        <f>181100000/1003.26</f>
        <v>180511.53240436179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A80D4-A40E-47F2-97EC-27CD7C27B352}">
  <dimension ref="C1:I25"/>
  <sheetViews>
    <sheetView workbookViewId="0">
      <selection activeCell="H15" sqref="H15"/>
    </sheetView>
  </sheetViews>
  <sheetFormatPr defaultRowHeight="15" x14ac:dyDescent="0.25"/>
  <cols>
    <col min="3" max="3" width="23.7109375" customWidth="1"/>
    <col min="4" max="4" width="10.42578125" customWidth="1"/>
    <col min="5" max="6" width="17.7109375" customWidth="1"/>
  </cols>
  <sheetData>
    <row r="1" spans="3:9" ht="15.75" thickBot="1" x14ac:dyDescent="0.3"/>
    <row r="2" spans="3:9" ht="15.75" x14ac:dyDescent="0.25">
      <c r="C2" s="72" t="s">
        <v>36</v>
      </c>
      <c r="D2" s="73"/>
      <c r="E2" s="74">
        <v>23000</v>
      </c>
      <c r="F2" s="75" t="s">
        <v>37</v>
      </c>
    </row>
    <row r="3" spans="3:9" ht="36" customHeight="1" x14ac:dyDescent="0.25">
      <c r="C3" s="76" t="s">
        <v>38</v>
      </c>
      <c r="D3" s="77"/>
      <c r="E3" s="78">
        <v>2800</v>
      </c>
      <c r="F3" s="79"/>
    </row>
    <row r="4" spans="3:9" ht="15.75" x14ac:dyDescent="0.25">
      <c r="C4" s="80" t="s">
        <v>39</v>
      </c>
      <c r="D4" s="77"/>
      <c r="E4" s="78">
        <f>E2-E3</f>
        <v>20200</v>
      </c>
      <c r="F4" s="79"/>
    </row>
    <row r="5" spans="3:9" ht="15.75" x14ac:dyDescent="0.25">
      <c r="C5" s="80" t="s">
        <v>40</v>
      </c>
      <c r="D5" s="77"/>
      <c r="E5" s="78">
        <f>E3</f>
        <v>2800</v>
      </c>
      <c r="F5" s="79"/>
    </row>
    <row r="6" spans="3:9" ht="15.75" x14ac:dyDescent="0.25">
      <c r="C6" s="80" t="s">
        <v>41</v>
      </c>
      <c r="D6" s="81"/>
      <c r="E6" s="82">
        <f>F6-F7</f>
        <v>11</v>
      </c>
      <c r="F6" s="83">
        <v>2024</v>
      </c>
    </row>
    <row r="7" spans="3:9" ht="15.75" x14ac:dyDescent="0.25">
      <c r="C7" s="80" t="s">
        <v>42</v>
      </c>
      <c r="D7" s="81"/>
      <c r="E7" s="82">
        <f>E8-E6</f>
        <v>49</v>
      </c>
      <c r="F7" s="83">
        <v>2013</v>
      </c>
    </row>
    <row r="8" spans="3:9" ht="15.75" x14ac:dyDescent="0.25">
      <c r="C8" s="80" t="s">
        <v>43</v>
      </c>
      <c r="D8" s="81"/>
      <c r="E8" s="82">
        <v>60</v>
      </c>
      <c r="F8" s="83"/>
    </row>
    <row r="9" spans="3:9" ht="31.5" customHeight="1" x14ac:dyDescent="0.25">
      <c r="C9" s="76" t="s">
        <v>44</v>
      </c>
      <c r="D9" s="81"/>
      <c r="E9" s="82">
        <f>90*E6/E8</f>
        <v>16.5</v>
      </c>
      <c r="F9" s="83"/>
    </row>
    <row r="10" spans="3:9" ht="15.75" x14ac:dyDescent="0.25">
      <c r="C10" s="80"/>
      <c r="D10" s="84"/>
      <c r="E10" s="82">
        <f>E9%</f>
        <v>0.16500000000000001</v>
      </c>
      <c r="F10" s="85"/>
    </row>
    <row r="11" spans="3:9" ht="15.75" x14ac:dyDescent="0.25">
      <c r="C11" s="80" t="s">
        <v>45</v>
      </c>
      <c r="D11" s="77"/>
      <c r="E11" s="78">
        <f>E5*E10</f>
        <v>462</v>
      </c>
      <c r="F11" s="79"/>
    </row>
    <row r="12" spans="3:9" ht="15.75" x14ac:dyDescent="0.25">
      <c r="C12" s="80" t="s">
        <v>46</v>
      </c>
      <c r="D12" s="77"/>
      <c r="E12" s="78">
        <f>E5-E11</f>
        <v>2338</v>
      </c>
      <c r="F12" s="79"/>
    </row>
    <row r="13" spans="3:9" ht="15.75" x14ac:dyDescent="0.25">
      <c r="C13" s="80" t="s">
        <v>39</v>
      </c>
      <c r="D13" s="77"/>
      <c r="E13" s="78">
        <f>E4</f>
        <v>20200</v>
      </c>
      <c r="F13" s="79"/>
    </row>
    <row r="14" spans="3:9" ht="15.75" x14ac:dyDescent="0.25">
      <c r="C14" s="80"/>
      <c r="D14" s="77"/>
      <c r="E14" s="78"/>
      <c r="F14" s="79"/>
    </row>
    <row r="15" spans="3:9" ht="15.75" x14ac:dyDescent="0.25">
      <c r="C15" s="80" t="s">
        <v>47</v>
      </c>
      <c r="D15" s="77"/>
      <c r="E15" s="78">
        <f>E13+E12</f>
        <v>22538</v>
      </c>
      <c r="F15" s="79"/>
      <c r="I15">
        <f>908.2*10.764</f>
        <v>9775.8647999999994</v>
      </c>
    </row>
    <row r="16" spans="3:9" ht="15.75" x14ac:dyDescent="0.25">
      <c r="C16" s="80"/>
      <c r="D16" s="81"/>
      <c r="E16" s="82"/>
      <c r="F16" s="83"/>
    </row>
    <row r="17" spans="3:6" ht="15.75" x14ac:dyDescent="0.25">
      <c r="C17" s="86" t="s">
        <v>48</v>
      </c>
      <c r="D17" s="87"/>
      <c r="E17" s="78">
        <v>9776</v>
      </c>
      <c r="F17" s="83" t="s">
        <v>49</v>
      </c>
    </row>
    <row r="18" spans="3:6" ht="15.75" x14ac:dyDescent="0.25">
      <c r="C18" s="86"/>
      <c r="D18" s="87"/>
      <c r="E18" s="78"/>
      <c r="F18" s="83"/>
    </row>
    <row r="19" spans="3:6" ht="15.75" x14ac:dyDescent="0.25">
      <c r="C19" s="88" t="s">
        <v>50</v>
      </c>
      <c r="D19" s="89"/>
      <c r="E19" s="90">
        <f>E15*E17</f>
        <v>220331488</v>
      </c>
      <c r="F19" s="91"/>
    </row>
    <row r="20" spans="3:6" ht="15.75" x14ac:dyDescent="0.25">
      <c r="C20" s="92" t="s">
        <v>51</v>
      </c>
      <c r="D20" s="87"/>
      <c r="E20" s="90">
        <f>E19*0.9</f>
        <v>198298339.20000002</v>
      </c>
      <c r="F20" s="83"/>
    </row>
    <row r="21" spans="3:6" ht="15.75" x14ac:dyDescent="0.25">
      <c r="C21" s="92" t="s">
        <v>52</v>
      </c>
      <c r="D21" s="87"/>
      <c r="E21" s="93">
        <f>E19*0.8</f>
        <v>176265190.40000001</v>
      </c>
      <c r="F21" s="91"/>
    </row>
    <row r="22" spans="3:6" ht="15.75" x14ac:dyDescent="0.25">
      <c r="C22" s="92" t="s">
        <v>53</v>
      </c>
      <c r="D22" s="87"/>
      <c r="E22" s="93">
        <f>E3*E17</f>
        <v>27372800</v>
      </c>
      <c r="F22" s="94"/>
    </row>
    <row r="23" spans="3:6" ht="15.75" x14ac:dyDescent="0.25">
      <c r="C23" s="80" t="s">
        <v>54</v>
      </c>
      <c r="D23" s="81"/>
      <c r="E23" s="95"/>
      <c r="F23" s="91"/>
    </row>
    <row r="24" spans="3:6" ht="15.75" x14ac:dyDescent="0.25">
      <c r="C24" s="96" t="s">
        <v>55</v>
      </c>
      <c r="D24" s="97"/>
      <c r="E24" s="95" t="e">
        <f>#REF!*0.03/12</f>
        <v>#REF!</v>
      </c>
      <c r="F24" s="98"/>
    </row>
    <row r="25" spans="3:6" ht="15.75" thickBot="1" x14ac:dyDescent="0.3">
      <c r="C25" s="99"/>
      <c r="D25" s="100"/>
      <c r="E25" s="101"/>
      <c r="F25" s="10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Flags Hotels</vt:lpstr>
      <vt:lpstr>Sheet5</vt:lpstr>
      <vt:lpstr>Sheet1</vt:lpstr>
      <vt:lpstr>Sheet2</vt:lpstr>
      <vt:lpstr>Sheet3</vt:lpstr>
      <vt:lpstr>working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2025-02-01T05:33:52Z</dcterms:modified>
</cp:coreProperties>
</file>