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LAND &amp; BUILDING - 2025\Ranbo Fabrics Pvt Ltd\"/>
    </mc:Choice>
  </mc:AlternateContent>
  <xr:revisionPtr revIDLastSave="0" documentId="13_ncr:1_{D555A4F2-C5BB-4670-8392-9A0ABC0A2F10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eebo Metals" sheetId="2" r:id="rId1"/>
    <sheet name="Sheet2" sheetId="5" r:id="rId2"/>
    <sheet name="Sheet1" sheetId="3" r:id="rId3"/>
    <sheet name="Location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3" i="2" l="1"/>
  <c r="AA11" i="5" l="1"/>
  <c r="M9" i="5"/>
  <c r="M12" i="2"/>
  <c r="H12" i="2"/>
  <c r="I12" i="2" s="1"/>
  <c r="J12" i="2" s="1"/>
  <c r="K12" i="2" s="1"/>
  <c r="L12" i="2" s="1"/>
  <c r="C13" i="2"/>
  <c r="M11" i="2"/>
  <c r="H11" i="2"/>
  <c r="I11" i="2" s="1"/>
  <c r="J11" i="2" s="1"/>
  <c r="K11" i="2" s="1"/>
  <c r="L11" i="2" s="1"/>
  <c r="M10" i="2"/>
  <c r="H10" i="2"/>
  <c r="I10" i="2" s="1"/>
  <c r="J10" i="2" s="1"/>
  <c r="K10" i="2" s="1"/>
  <c r="L10" i="2" s="1"/>
  <c r="S11" i="2"/>
  <c r="S10" i="2"/>
  <c r="D2" i="2"/>
  <c r="X14" i="3" l="1"/>
  <c r="L15" i="3"/>
  <c r="H9" i="2" l="1"/>
  <c r="I9" i="2" s="1"/>
  <c r="J9" i="2" s="1"/>
  <c r="K9" i="2" s="1"/>
  <c r="L9" i="2" s="1"/>
  <c r="C37" i="2"/>
  <c r="C38" i="2" s="1"/>
  <c r="C39" i="2" s="1"/>
  <c r="C30" i="2"/>
  <c r="C19" i="2"/>
  <c r="C29" i="2" s="1"/>
  <c r="M9" i="2"/>
  <c r="D4" i="2"/>
  <c r="C4" i="2"/>
  <c r="C27" i="2" s="1"/>
  <c r="E24" i="2" s="1"/>
  <c r="E25" i="2" s="1"/>
  <c r="M13" i="2" l="1"/>
  <c r="C40" i="2" s="1"/>
  <c r="K13" i="2"/>
  <c r="L13" i="2"/>
  <c r="C28" i="2" s="1"/>
  <c r="C31" i="2" s="1"/>
  <c r="C41" i="2" l="1"/>
  <c r="C36" i="2"/>
  <c r="C32" i="2"/>
  <c r="C33" i="2"/>
  <c r="C34" i="2" s="1"/>
  <c r="C35" i="2" s="1"/>
</calcChain>
</file>

<file path=xl/sharedStrings.xml><?xml version="1.0" encoding="utf-8"?>
<sst xmlns="http://schemas.openxmlformats.org/spreadsheetml/2006/main" count="57" uniqueCount="46">
  <si>
    <t>Land Value</t>
  </si>
  <si>
    <t>Land Area</t>
  </si>
  <si>
    <t>Rate</t>
  </si>
  <si>
    <t xml:space="preserve"> Value</t>
  </si>
  <si>
    <t>Structure Value</t>
  </si>
  <si>
    <t>Items</t>
  </si>
  <si>
    <t>Year Of Const.</t>
  </si>
  <si>
    <t>Valuation Year</t>
  </si>
  <si>
    <t>Total Life of Structure</t>
  </si>
  <si>
    <t>Full Rate</t>
  </si>
  <si>
    <t>Age Of Build.</t>
  </si>
  <si>
    <t>% of the depreciation rate to be deducted</t>
  </si>
  <si>
    <t>% Value</t>
  </si>
  <si>
    <t>Final Depreciated Rate to be considered</t>
  </si>
  <si>
    <t>Final Depreciated Value to be considered</t>
  </si>
  <si>
    <t>Insurance Value / Full Value</t>
  </si>
  <si>
    <t>Interior and other Development</t>
  </si>
  <si>
    <t>Built up area</t>
  </si>
  <si>
    <t>Value</t>
  </si>
  <si>
    <t>Land Development Value</t>
  </si>
  <si>
    <t>land area</t>
  </si>
  <si>
    <t>Normal Case</t>
  </si>
  <si>
    <t>Land Development</t>
  </si>
  <si>
    <t>Total Value</t>
  </si>
  <si>
    <t>Realisable Value</t>
  </si>
  <si>
    <t>Distress Value</t>
  </si>
  <si>
    <t>Insurance Value</t>
  </si>
  <si>
    <t>Government Value</t>
  </si>
  <si>
    <t>Sq.M</t>
  </si>
  <si>
    <t>Sq.Ft</t>
  </si>
  <si>
    <t>per sq.M</t>
  </si>
  <si>
    <t>Interior Cost</t>
  </si>
  <si>
    <t>sq.ft</t>
  </si>
  <si>
    <t xml:space="preserve">S.No. 196&amp; 130 </t>
  </si>
  <si>
    <t>S.No. 196 - H 5/2 &amp; 130 -H/2</t>
  </si>
  <si>
    <t>Plinth -1</t>
  </si>
  <si>
    <t>Plinth-1</t>
  </si>
  <si>
    <t>Plinth-2</t>
  </si>
  <si>
    <t>Plinth-3</t>
  </si>
  <si>
    <t xml:space="preserve">Measured Area </t>
  </si>
  <si>
    <t>Plinth- H</t>
  </si>
  <si>
    <t xml:space="preserve"> Area In             Sq.FT</t>
  </si>
  <si>
    <t>Sq.FT</t>
  </si>
  <si>
    <t>PER Sq.M</t>
  </si>
  <si>
    <t>Per Sq.M</t>
  </si>
  <si>
    <t>Area Details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</si>
</sst>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0"/>
      <color theme="1"/>
      <name val="Arial Narrow"/>
      <family val="2"/>
    </font>
    <font>
      <b/>
      <sz val="11"/>
      <name val="Calibri"/>
      <family val="2"/>
    </font>
    <font>
      <b/>
      <u/>
      <sz val="12"/>
      <color theme="1"/>
      <name val="Calibri"/>
      <family val="2"/>
      <scheme val="minor"/>
    </font>
    <font>
      <sz val="11"/>
      <color rgb="FF000000"/>
      <name val="Arial Narrow"/>
      <family val="2"/>
    </font>
    <font>
      <b/>
      <sz val="11"/>
      <color rgb="FFFF0000"/>
      <name val="Arial Narrow"/>
      <family val="2"/>
    </font>
    <font>
      <b/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5"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2" fillId="0" borderId="0" xfId="0" applyFont="1"/>
    <xf numFmtId="0" fontId="4" fillId="0" borderId="0" xfId="0" applyFont="1"/>
    <xf numFmtId="0" fontId="2" fillId="0" borderId="1" xfId="0" applyFont="1" applyBorder="1" applyAlignment="1">
      <alignment horizontal="center" wrapText="1"/>
    </xf>
    <xf numFmtId="43" fontId="2" fillId="0" borderId="1" xfId="1" applyFont="1" applyBorder="1"/>
    <xf numFmtId="0" fontId="5" fillId="0" borderId="2" xfId="0" applyFont="1" applyBorder="1" applyAlignment="1">
      <alignment horizontal="center" vertical="top" wrapText="1" shrinkToFit="1"/>
    </xf>
    <xf numFmtId="0" fontId="5" fillId="0" borderId="1" xfId="0" applyFont="1" applyBorder="1" applyAlignment="1">
      <alignment horizontal="center" vertical="top" wrapText="1" shrinkToFit="1"/>
    </xf>
    <xf numFmtId="0" fontId="4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4" fontId="6" fillId="0" borderId="1" xfId="0" applyNumberFormat="1" applyFont="1" applyBorder="1" applyAlignment="1">
      <alignment vertical="top"/>
    </xf>
    <xf numFmtId="0" fontId="6" fillId="0" borderId="2" xfId="0" applyFont="1" applyBorder="1"/>
    <xf numFmtId="0" fontId="6" fillId="0" borderId="1" xfId="0" applyFont="1" applyBorder="1"/>
    <xf numFmtId="4" fontId="4" fillId="0" borderId="1" xfId="0" applyNumberFormat="1" applyFont="1" applyBorder="1" applyAlignment="1">
      <alignment vertical="top"/>
    </xf>
    <xf numFmtId="0" fontId="7" fillId="0" borderId="1" xfId="0" applyFont="1" applyBorder="1" applyAlignment="1">
      <alignment horizontal="center" wrapText="1"/>
    </xf>
    <xf numFmtId="4" fontId="7" fillId="0" borderId="1" xfId="0" applyNumberFormat="1" applyFont="1" applyBorder="1"/>
    <xf numFmtId="43" fontId="7" fillId="0" borderId="1" xfId="1" applyFont="1" applyBorder="1"/>
    <xf numFmtId="0" fontId="6" fillId="0" borderId="0" xfId="0" applyFont="1"/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43" fontId="7" fillId="0" borderId="0" xfId="1" applyFont="1"/>
    <xf numFmtId="0" fontId="8" fillId="0" borderId="0" xfId="0" applyFont="1" applyAlignment="1">
      <alignment horizontal="center"/>
    </xf>
    <xf numFmtId="0" fontId="9" fillId="0" borderId="1" xfId="0" applyFont="1" applyBorder="1" applyAlignment="1">
      <alignment horizontal="center" vertical="top" wrapText="1" shrinkToFit="1"/>
    </xf>
    <xf numFmtId="0" fontId="10" fillId="0" borderId="1" xfId="0" applyFont="1" applyBorder="1"/>
    <xf numFmtId="0" fontId="6" fillId="0" borderId="1" xfId="0" applyFont="1" applyBorder="1" applyAlignment="1">
      <alignment horizontal="right" vertical="center" wrapText="1"/>
    </xf>
    <xf numFmtId="4" fontId="11" fillId="0" borderId="1" xfId="0" applyNumberFormat="1" applyFont="1" applyBorder="1" applyAlignment="1">
      <alignment horizontal="right" wrapText="1"/>
    </xf>
    <xf numFmtId="0" fontId="7" fillId="0" borderId="1" xfId="0" applyFont="1" applyBorder="1" applyAlignment="1">
      <alignment vertical="top"/>
    </xf>
    <xf numFmtId="4" fontId="7" fillId="0" borderId="1" xfId="0" applyNumberFormat="1" applyFont="1" applyBorder="1" applyAlignment="1">
      <alignment vertical="top"/>
    </xf>
    <xf numFmtId="0" fontId="11" fillId="0" borderId="1" xfId="0" applyFont="1" applyBorder="1" applyAlignment="1">
      <alignment vertical="top" wrapText="1"/>
    </xf>
    <xf numFmtId="0" fontId="4" fillId="0" borderId="0" xfId="0" applyFont="1" applyAlignment="1">
      <alignment vertical="top"/>
    </xf>
    <xf numFmtId="0" fontId="2" fillId="0" borderId="1" xfId="0" applyFont="1" applyBorder="1" applyAlignment="1">
      <alignment vertical="top" wrapText="1"/>
    </xf>
    <xf numFmtId="4" fontId="6" fillId="0" borderId="1" xfId="0" applyNumberFormat="1" applyFont="1" applyBorder="1" applyAlignment="1">
      <alignment horizontal="right" vertical="top"/>
    </xf>
    <xf numFmtId="0" fontId="4" fillId="0" borderId="1" xfId="0" applyFont="1" applyBorder="1" applyAlignment="1">
      <alignment vertical="top"/>
    </xf>
    <xf numFmtId="0" fontId="2" fillId="0" borderId="0" xfId="0" applyFont="1" applyAlignment="1">
      <alignment vertical="top" wrapText="1"/>
    </xf>
    <xf numFmtId="4" fontId="4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4" fontId="2" fillId="0" borderId="0" xfId="0" applyNumberFormat="1" applyFont="1" applyAlignment="1">
      <alignment vertical="top"/>
    </xf>
    <xf numFmtId="4" fontId="6" fillId="0" borderId="0" xfId="0" applyNumberFormat="1" applyFont="1" applyAlignment="1">
      <alignment vertical="top"/>
    </xf>
    <xf numFmtId="4" fontId="6" fillId="0" borderId="1" xfId="0" applyNumberFormat="1" applyFont="1" applyBorder="1"/>
    <xf numFmtId="0" fontId="2" fillId="0" borderId="1" xfId="0" applyFont="1" applyBorder="1" applyAlignment="1">
      <alignment horizontal="center"/>
    </xf>
    <xf numFmtId="4" fontId="4" fillId="0" borderId="1" xfId="0" applyNumberFormat="1" applyFont="1" applyBorder="1"/>
    <xf numFmtId="0" fontId="12" fillId="0" borderId="0" xfId="0" applyFont="1" applyAlignment="1">
      <alignment horizontal="center" vertical="top"/>
    </xf>
    <xf numFmtId="0" fontId="12" fillId="0" borderId="0" xfId="0" applyFont="1"/>
    <xf numFmtId="0" fontId="7" fillId="0" borderId="0" xfId="0" applyFont="1" applyAlignment="1">
      <alignment horizontal="center" vertical="top"/>
    </xf>
    <xf numFmtId="4" fontId="6" fillId="0" borderId="0" xfId="0" applyNumberFormat="1" applyFont="1"/>
    <xf numFmtId="0" fontId="2" fillId="0" borderId="0" xfId="0" applyFont="1" applyAlignment="1">
      <alignment wrapText="1"/>
    </xf>
    <xf numFmtId="4" fontId="12" fillId="0" borderId="0" xfId="0" applyNumberFormat="1" applyFont="1"/>
    <xf numFmtId="4" fontId="2" fillId="0" borderId="0" xfId="0" applyNumberFormat="1" applyFont="1"/>
    <xf numFmtId="2" fontId="4" fillId="0" borderId="0" xfId="0" applyNumberFormat="1" applyFont="1"/>
    <xf numFmtId="0" fontId="4" fillId="0" borderId="0" xfId="0" applyFont="1" applyAlignment="1">
      <alignment wrapText="1"/>
    </xf>
    <xf numFmtId="2" fontId="6" fillId="0" borderId="0" xfId="0" applyNumberFormat="1" applyFont="1"/>
    <xf numFmtId="0" fontId="12" fillId="0" borderId="0" xfId="0" applyFont="1" applyAlignment="1">
      <alignment wrapText="1"/>
    </xf>
    <xf numFmtId="0" fontId="2" fillId="0" borderId="0" xfId="0" applyFont="1" applyAlignment="1">
      <alignment horizontal="right" vertical="top" wrapText="1"/>
    </xf>
    <xf numFmtId="43" fontId="6" fillId="0" borderId="0" xfId="0" applyNumberFormat="1" applyFont="1"/>
    <xf numFmtId="0" fontId="11" fillId="0" borderId="0" xfId="0" applyFont="1" applyAlignment="1">
      <alignment horizontal="left" vertical="top" wrapText="1"/>
    </xf>
    <xf numFmtId="0" fontId="3" fillId="0" borderId="0" xfId="0" applyFont="1" applyAlignment="1">
      <alignment horizontal="center" vertical="top" wrapText="1"/>
    </xf>
    <xf numFmtId="0" fontId="4" fillId="0" borderId="0" xfId="0" applyFont="1" applyAlignment="1">
      <alignment horizontal="right" vertical="top" wrapText="1"/>
    </xf>
    <xf numFmtId="0" fontId="2" fillId="0" borderId="0" xfId="0" applyFont="1" applyAlignment="1">
      <alignment horizontal="center" vertical="top" wrapText="1"/>
    </xf>
    <xf numFmtId="0" fontId="11" fillId="0" borderId="0" xfId="0" applyFont="1" applyAlignment="1">
      <alignment horizontal="right" vertical="top" wrapText="1"/>
    </xf>
    <xf numFmtId="43" fontId="2" fillId="0" borderId="1" xfId="0" applyNumberFormat="1" applyFont="1" applyBorder="1"/>
    <xf numFmtId="2" fontId="2" fillId="0" borderId="1" xfId="0" applyNumberFormat="1" applyFont="1" applyBorder="1" applyAlignment="1">
      <alignment horizontal="right" vertical="center" wrapText="1"/>
    </xf>
    <xf numFmtId="2" fontId="2" fillId="0" borderId="1" xfId="0" applyNumberFormat="1" applyFont="1" applyBorder="1" applyAlignment="1">
      <alignment horizontal="right" vertical="top" wrapText="1"/>
    </xf>
    <xf numFmtId="2" fontId="11" fillId="0" borderId="1" xfId="0" applyNumberFormat="1" applyFont="1" applyBorder="1" applyAlignment="1">
      <alignment horizontal="right" wrapText="1"/>
    </xf>
    <xf numFmtId="2" fontId="13" fillId="0" borderId="1" xfId="0" applyNumberFormat="1" applyFont="1" applyBorder="1" applyAlignment="1">
      <alignment horizontal="right" wrapText="1"/>
    </xf>
    <xf numFmtId="0" fontId="2" fillId="0" borderId="0" xfId="0" applyFont="1" applyAlignment="1">
      <alignment horizontal="right"/>
    </xf>
    <xf numFmtId="0" fontId="6" fillId="0" borderId="1" xfId="0" applyFont="1" applyBorder="1" applyAlignment="1">
      <alignment vertical="top"/>
    </xf>
    <xf numFmtId="0" fontId="6" fillId="0" borderId="0" xfId="0" applyFont="1" applyFill="1"/>
    <xf numFmtId="4" fontId="6" fillId="0" borderId="0" xfId="0" applyNumberFormat="1" applyFont="1" applyFill="1" applyAlignment="1">
      <alignment vertical="top"/>
    </xf>
    <xf numFmtId="0" fontId="4" fillId="0" borderId="0" xfId="0" applyFont="1" applyFill="1"/>
    <xf numFmtId="4" fontId="2" fillId="0" borderId="0" xfId="0" applyNumberFormat="1" applyFont="1" applyFill="1"/>
    <xf numFmtId="4" fontId="7" fillId="0" borderId="0" xfId="0" applyNumberFormat="1" applyFont="1" applyFill="1"/>
    <xf numFmtId="2" fontId="6" fillId="0" borderId="0" xfId="0" applyNumberFormat="1" applyFont="1" applyFill="1"/>
    <xf numFmtId="43" fontId="6" fillId="0" borderId="0" xfId="1" applyFont="1" applyFill="1"/>
    <xf numFmtId="0" fontId="2" fillId="0" borderId="0" xfId="0" applyFont="1" applyFill="1" applyAlignment="1">
      <alignment vertical="top"/>
    </xf>
    <xf numFmtId="0" fontId="6" fillId="0" borderId="0" xfId="0" applyFont="1" applyFill="1" applyAlignment="1">
      <alignment vertical="top"/>
    </xf>
    <xf numFmtId="4" fontId="6" fillId="0" borderId="0" xfId="0" applyNumberFormat="1" applyFont="1" applyFill="1" applyAlignment="1">
      <alignment horizontal="right" vertical="top"/>
    </xf>
    <xf numFmtId="0" fontId="5" fillId="0" borderId="0" xfId="0" applyFont="1" applyBorder="1" applyAlignment="1">
      <alignment horizontal="center" vertical="top" wrapText="1" shrinkToFit="1"/>
    </xf>
    <xf numFmtId="4" fontId="7" fillId="0" borderId="0" xfId="0" applyNumberFormat="1" applyFont="1" applyBorder="1" applyAlignment="1">
      <alignment vertical="top"/>
    </xf>
    <xf numFmtId="4" fontId="6" fillId="0" borderId="0" xfId="0" applyNumberFormat="1" applyFont="1" applyBorder="1" applyAlignment="1">
      <alignment vertical="top"/>
    </xf>
    <xf numFmtId="4" fontId="4" fillId="0" borderId="0" xfId="0" applyNumberFormat="1" applyFont="1" applyBorder="1" applyAlignment="1">
      <alignment vertical="top"/>
    </xf>
    <xf numFmtId="0" fontId="3" fillId="0" borderId="3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4" fontId="4" fillId="0" borderId="0" xfId="0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685801</xdr:colOff>
      <xdr:row>14</xdr:row>
      <xdr:rowOff>87331</xdr:rowOff>
    </xdr:from>
    <xdr:to>
      <xdr:col>12</xdr:col>
      <xdr:colOff>276226</xdr:colOff>
      <xdr:row>45</xdr:row>
      <xdr:rowOff>142874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74D536-EAE5-4FE4-8C07-E25D14625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81726" y="3573481"/>
          <a:ext cx="4286250" cy="5427643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25</xdr:row>
      <xdr:rowOff>108347</xdr:rowOff>
    </xdr:from>
    <xdr:to>
      <xdr:col>19</xdr:col>
      <xdr:colOff>180975</xdr:colOff>
      <xdr:row>57</xdr:row>
      <xdr:rowOff>58203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4F2E89E-CF50-4560-B33C-77356BB77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53699" y="5975747"/>
          <a:ext cx="5600701" cy="5455306"/>
        </a:xfrm>
        <a:prstGeom prst="rect">
          <a:avLst/>
        </a:prstGeom>
      </xdr:spPr>
    </xdr:pic>
    <xdr:clientData/>
  </xdr:twoCellAnchor>
  <xdr:twoCellAnchor editAs="oneCell">
    <xdr:from>
      <xdr:col>12</xdr:col>
      <xdr:colOff>333375</xdr:colOff>
      <xdr:row>14</xdr:row>
      <xdr:rowOff>95250</xdr:rowOff>
    </xdr:from>
    <xdr:to>
      <xdr:col>19</xdr:col>
      <xdr:colOff>162708</xdr:colOff>
      <xdr:row>24</xdr:row>
      <xdr:rowOff>171764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A2F39A1-5981-447F-97FB-97946EAE9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25125" y="3581400"/>
          <a:ext cx="5611008" cy="22482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343884</xdr:colOff>
      <xdr:row>40</xdr:row>
      <xdr:rowOff>77274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FCF977-7373-46D8-8C36-7E1713375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49484" cy="7697274"/>
        </a:xfrm>
        <a:prstGeom prst="rect">
          <a:avLst/>
        </a:prstGeom>
      </xdr:spPr>
    </xdr:pic>
    <xdr:clientData/>
  </xdr:twoCellAnchor>
  <xdr:twoCellAnchor editAs="oneCell">
    <xdr:from>
      <xdr:col>14</xdr:col>
      <xdr:colOff>200025</xdr:colOff>
      <xdr:row>0</xdr:row>
      <xdr:rowOff>0</xdr:rowOff>
    </xdr:from>
    <xdr:to>
      <xdr:col>25</xdr:col>
      <xdr:colOff>439119</xdr:colOff>
      <xdr:row>39</xdr:row>
      <xdr:rowOff>105827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7A0E12-B4BD-4729-98B7-A35A2C5EF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34425" y="0"/>
          <a:ext cx="6944694" cy="75353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123826</xdr:rowOff>
    </xdr:from>
    <xdr:to>
      <xdr:col>11</xdr:col>
      <xdr:colOff>28575</xdr:colOff>
      <xdr:row>32</xdr:row>
      <xdr:rowOff>142290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A6DDFE-A230-4111-9B28-661987A3E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123826"/>
          <a:ext cx="5734050" cy="6114464"/>
        </a:xfrm>
        <a:prstGeom prst="rect">
          <a:avLst/>
        </a:prstGeom>
      </xdr:spPr>
    </xdr:pic>
    <xdr:clientData/>
  </xdr:twoCellAnchor>
  <xdr:twoCellAnchor editAs="oneCell">
    <xdr:from>
      <xdr:col>13</xdr:col>
      <xdr:colOff>171450</xdr:colOff>
      <xdr:row>0</xdr:row>
      <xdr:rowOff>161924</xdr:rowOff>
    </xdr:from>
    <xdr:to>
      <xdr:col>23</xdr:col>
      <xdr:colOff>240396</xdr:colOff>
      <xdr:row>32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706AC7-D91D-4FCD-88FF-073A2459E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8600" y="161924"/>
          <a:ext cx="6164946" cy="59721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67508</xdr:rowOff>
    </xdr:from>
    <xdr:to>
      <xdr:col>13</xdr:col>
      <xdr:colOff>523875</xdr:colOff>
      <xdr:row>29</xdr:row>
      <xdr:rowOff>48650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2F4FCA-DE8F-44D2-8F8B-AF190ACBD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258008"/>
          <a:ext cx="8210550" cy="531514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76200</xdr:colOff>
      <xdr:row>1</xdr:row>
      <xdr:rowOff>76293</xdr:rowOff>
    </xdr:from>
    <xdr:to>
      <xdr:col>27</xdr:col>
      <xdr:colOff>91357</xdr:colOff>
      <xdr:row>29</xdr:row>
      <xdr:rowOff>57150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B57812-D592-405E-B8D5-68956E4D5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10600" y="266793"/>
          <a:ext cx="7939957" cy="531485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AC023-5DFB-4D4E-A8DD-DC770D2AE745}">
  <dimension ref="A1:T86"/>
  <sheetViews>
    <sheetView tabSelected="1" topLeftCell="A19" zoomScaleNormal="100" workbookViewId="0">
      <selection activeCell="U30" sqref="U30"/>
    </sheetView>
  </sheetViews>
  <sheetFormatPr defaultRowHeight="16.5" x14ac:dyDescent="0.3"/>
  <cols>
    <col min="1" max="1" width="9.140625" style="1"/>
    <col min="2" max="2" width="23.5703125" style="46" customWidth="1"/>
    <col min="3" max="3" width="13.140625" style="3" customWidth="1"/>
    <col min="4" max="4" width="12.7109375" style="3" customWidth="1"/>
    <col min="5" max="5" width="14.42578125" style="3" customWidth="1"/>
    <col min="6" max="6" width="9.42578125" style="4" customWidth="1"/>
    <col min="7" max="7" width="11.7109375" style="4" customWidth="1"/>
    <col min="8" max="8" width="8.5703125" style="4" customWidth="1"/>
    <col min="9" max="9" width="11.85546875" style="3" customWidth="1"/>
    <col min="10" max="10" width="10.42578125" style="4" customWidth="1"/>
    <col min="11" max="11" width="13" style="3" customWidth="1"/>
    <col min="12" max="12" width="14.85546875" style="4" customWidth="1"/>
    <col min="13" max="13" width="14.85546875" style="4" bestFit="1" customWidth="1"/>
    <col min="14" max="14" width="5.5703125" style="4" customWidth="1"/>
    <col min="15" max="15" width="25.42578125" style="4" customWidth="1"/>
    <col min="16" max="16" width="13.42578125" style="3" customWidth="1"/>
    <col min="17" max="16384" width="9.140625" style="3"/>
  </cols>
  <sheetData>
    <row r="1" spans="1:20" x14ac:dyDescent="0.3">
      <c r="B1" s="2" t="s">
        <v>0</v>
      </c>
      <c r="C1" s="65" t="s">
        <v>28</v>
      </c>
      <c r="D1" s="65" t="s">
        <v>29</v>
      </c>
    </row>
    <row r="2" spans="1:20" x14ac:dyDescent="0.3">
      <c r="B2" s="5" t="s">
        <v>1</v>
      </c>
      <c r="C2" s="6">
        <v>2269</v>
      </c>
      <c r="D2" s="60">
        <f>C2*10.764</f>
        <v>24423.516</v>
      </c>
      <c r="E2" s="7"/>
      <c r="F2" s="8"/>
      <c r="G2" s="9"/>
      <c r="H2" s="3"/>
    </row>
    <row r="3" spans="1:20" x14ac:dyDescent="0.3">
      <c r="B3" s="10" t="s">
        <v>2</v>
      </c>
      <c r="C3" s="11">
        <v>8000</v>
      </c>
      <c r="D3" s="11"/>
      <c r="E3" s="12"/>
      <c r="F3" s="13"/>
      <c r="G3" s="14"/>
      <c r="H3" s="3"/>
    </row>
    <row r="4" spans="1:20" x14ac:dyDescent="0.3">
      <c r="B4" s="15" t="s">
        <v>3</v>
      </c>
      <c r="C4" s="16">
        <f>ROUND((C2*C3),0)</f>
        <v>18152000</v>
      </c>
      <c r="D4" s="17">
        <f>D3*C2</f>
        <v>0</v>
      </c>
      <c r="E4" s="18"/>
      <c r="F4" s="18"/>
      <c r="G4" s="18"/>
    </row>
    <row r="5" spans="1:20" x14ac:dyDescent="0.3">
      <c r="B5" s="19"/>
      <c r="C5" s="20"/>
      <c r="D5" s="21"/>
      <c r="E5" s="18"/>
      <c r="F5" s="18"/>
      <c r="G5" s="18"/>
    </row>
    <row r="6" spans="1:20" x14ac:dyDescent="0.3">
      <c r="B6" s="2" t="s">
        <v>4</v>
      </c>
    </row>
    <row r="7" spans="1:20" s="22" customFormat="1" ht="60" x14ac:dyDescent="0.2">
      <c r="B7" s="8" t="s">
        <v>5</v>
      </c>
      <c r="C7" s="8" t="s">
        <v>41</v>
      </c>
      <c r="D7" s="8" t="s">
        <v>6</v>
      </c>
      <c r="E7" s="8" t="s">
        <v>7</v>
      </c>
      <c r="F7" s="8" t="s">
        <v>8</v>
      </c>
      <c r="G7" s="23" t="s">
        <v>9</v>
      </c>
      <c r="H7" s="8" t="s">
        <v>10</v>
      </c>
      <c r="I7" s="23" t="s">
        <v>11</v>
      </c>
      <c r="J7" s="23" t="s">
        <v>12</v>
      </c>
      <c r="K7" s="8" t="s">
        <v>13</v>
      </c>
      <c r="L7" s="8" t="s">
        <v>14</v>
      </c>
      <c r="M7" s="8" t="s">
        <v>15</v>
      </c>
      <c r="N7" s="77"/>
    </row>
    <row r="8" spans="1:20" x14ac:dyDescent="0.3">
      <c r="B8" s="24" t="s">
        <v>45</v>
      </c>
      <c r="C8" s="61"/>
      <c r="D8" s="25"/>
      <c r="E8" s="25"/>
      <c r="F8" s="25"/>
      <c r="G8" s="26"/>
      <c r="H8" s="27"/>
      <c r="I8" s="27"/>
      <c r="J8" s="28"/>
      <c r="K8" s="28"/>
      <c r="L8" s="28"/>
      <c r="M8" s="28"/>
      <c r="N8" s="78"/>
    </row>
    <row r="9" spans="1:20" x14ac:dyDescent="0.3">
      <c r="A9" s="22"/>
      <c r="B9" s="29" t="s">
        <v>36</v>
      </c>
      <c r="C9" s="62">
        <v>4070</v>
      </c>
      <c r="D9" s="25">
        <v>2004</v>
      </c>
      <c r="E9" s="25">
        <v>2025</v>
      </c>
      <c r="F9" s="25">
        <v>60</v>
      </c>
      <c r="G9" s="26">
        <v>2200</v>
      </c>
      <c r="H9" s="66">
        <f>E9-D9</f>
        <v>21</v>
      </c>
      <c r="I9" s="66">
        <f t="shared" ref="I9" si="0">IF(H9&gt;=5,90*H9/F9,0)</f>
        <v>31.5</v>
      </c>
      <c r="J9" s="11">
        <f t="shared" ref="J9" si="1">G9/100*I9</f>
        <v>693</v>
      </c>
      <c r="K9" s="11">
        <f t="shared" ref="K9" si="2">ROUND((G9-J9),0)</f>
        <v>1507</v>
      </c>
      <c r="L9" s="11">
        <f>ROUND((K9*C9),0)</f>
        <v>6133490</v>
      </c>
      <c r="M9" s="11">
        <f t="shared" ref="M9" si="3">ROUND((C9*G9),0)</f>
        <v>8954000</v>
      </c>
      <c r="N9" s="79"/>
      <c r="O9" s="30"/>
    </row>
    <row r="10" spans="1:20" x14ac:dyDescent="0.3">
      <c r="B10" s="29" t="s">
        <v>37</v>
      </c>
      <c r="C10" s="62">
        <v>4070</v>
      </c>
      <c r="D10" s="25">
        <v>2004</v>
      </c>
      <c r="E10" s="25">
        <v>2025</v>
      </c>
      <c r="F10" s="25">
        <v>60</v>
      </c>
      <c r="G10" s="26">
        <v>2200</v>
      </c>
      <c r="H10" s="66">
        <f>E10-D10</f>
        <v>21</v>
      </c>
      <c r="I10" s="66">
        <f t="shared" ref="I10" si="4">IF(H10&gt;=5,90*H10/F10,0)</f>
        <v>31.5</v>
      </c>
      <c r="J10" s="11">
        <f t="shared" ref="J10" si="5">G10/100*I10</f>
        <v>693</v>
      </c>
      <c r="K10" s="11">
        <f t="shared" ref="K10" si="6">ROUND((G10-J10),0)</f>
        <v>1507</v>
      </c>
      <c r="L10" s="11">
        <f>ROUND((K10*C10),0)</f>
        <v>6133490</v>
      </c>
      <c r="M10" s="11">
        <f t="shared" ref="M10" si="7">ROUND((C10*G10),0)</f>
        <v>8954000</v>
      </c>
      <c r="N10" s="79"/>
      <c r="O10" s="30" t="s">
        <v>34</v>
      </c>
      <c r="P10" s="3" t="s">
        <v>35</v>
      </c>
      <c r="Q10" s="3">
        <v>4070</v>
      </c>
      <c r="R10" s="3" t="s">
        <v>32</v>
      </c>
      <c r="S10" s="3">
        <f>Q10/10.764</f>
        <v>378.11222593831292</v>
      </c>
      <c r="T10" s="3" t="s">
        <v>28</v>
      </c>
    </row>
    <row r="11" spans="1:20" x14ac:dyDescent="0.3">
      <c r="B11" s="29" t="s">
        <v>38</v>
      </c>
      <c r="C11" s="62">
        <v>4070</v>
      </c>
      <c r="D11" s="25">
        <v>2004</v>
      </c>
      <c r="E11" s="25">
        <v>2025</v>
      </c>
      <c r="F11" s="25">
        <v>60</v>
      </c>
      <c r="G11" s="26">
        <v>2200</v>
      </c>
      <c r="H11" s="66">
        <f>E11-D11</f>
        <v>21</v>
      </c>
      <c r="I11" s="66">
        <f t="shared" ref="I11" si="8">IF(H11&gt;=5,90*H11/F11,0)</f>
        <v>31.5</v>
      </c>
      <c r="J11" s="11">
        <f t="shared" ref="J11" si="9">G11/100*I11</f>
        <v>693</v>
      </c>
      <c r="K11" s="11">
        <f t="shared" ref="K11" si="10">ROUND((G11-J11),0)</f>
        <v>1507</v>
      </c>
      <c r="L11" s="11">
        <f>ROUND((K11*C11),0)</f>
        <v>6133490</v>
      </c>
      <c r="M11" s="11">
        <f t="shared" ref="M11" si="11">ROUND((C11*G11),0)</f>
        <v>8954000</v>
      </c>
      <c r="N11" s="79"/>
      <c r="O11" s="30" t="s">
        <v>33</v>
      </c>
      <c r="Q11" s="3">
        <v>4070</v>
      </c>
      <c r="R11" s="3" t="s">
        <v>32</v>
      </c>
      <c r="S11" s="3">
        <f>Q11/10.764</f>
        <v>378.11222593831292</v>
      </c>
      <c r="T11" s="3" t="s">
        <v>28</v>
      </c>
    </row>
    <row r="12" spans="1:20" x14ac:dyDescent="0.3">
      <c r="B12" s="29" t="s">
        <v>40</v>
      </c>
      <c r="C12" s="62">
        <v>12210</v>
      </c>
      <c r="D12" s="25">
        <v>2004</v>
      </c>
      <c r="E12" s="25">
        <v>2025</v>
      </c>
      <c r="F12" s="25">
        <v>60</v>
      </c>
      <c r="G12" s="26">
        <v>2200</v>
      </c>
      <c r="H12" s="66">
        <f>E12-D12</f>
        <v>21</v>
      </c>
      <c r="I12" s="66">
        <f t="shared" ref="I12" si="12">IF(H12&gt;=5,90*H12/F12,0)</f>
        <v>31.5</v>
      </c>
      <c r="J12" s="11">
        <f t="shared" ref="J12" si="13">G12/100*I12</f>
        <v>693</v>
      </c>
      <c r="K12" s="11">
        <f t="shared" ref="K12" si="14">ROUND((G12-J12),0)</f>
        <v>1507</v>
      </c>
      <c r="L12" s="11">
        <f>ROUND((K12*C12),0)</f>
        <v>18400470</v>
      </c>
      <c r="M12" s="11">
        <f t="shared" ref="M12" si="15">ROUND((C12*G12),0)</f>
        <v>26862000</v>
      </c>
      <c r="N12" s="79"/>
      <c r="O12" s="30"/>
    </row>
    <row r="13" spans="1:20" x14ac:dyDescent="0.3">
      <c r="B13" s="31"/>
      <c r="C13" s="64">
        <f>SUM(C9:C12)</f>
        <v>24420</v>
      </c>
      <c r="D13" s="25"/>
      <c r="E13" s="25"/>
      <c r="F13" s="25"/>
      <c r="G13" s="32"/>
      <c r="H13" s="27"/>
      <c r="I13" s="27"/>
      <c r="J13" s="28"/>
      <c r="K13" s="28">
        <f>SUM(K8:K9)</f>
        <v>1507</v>
      </c>
      <c r="L13" s="28">
        <f>SUM(L8:L9)</f>
        <v>6133490</v>
      </c>
      <c r="M13" s="28">
        <f>SUM(M8:M9)</f>
        <v>8954000</v>
      </c>
      <c r="N13" s="78"/>
      <c r="O13" s="30"/>
    </row>
    <row r="14" spans="1:20" x14ac:dyDescent="0.3">
      <c r="B14" s="31"/>
      <c r="C14" s="63"/>
      <c r="D14" s="25"/>
      <c r="E14" s="25"/>
      <c r="F14" s="25"/>
      <c r="G14" s="32"/>
      <c r="H14" s="33"/>
      <c r="I14" s="33"/>
      <c r="J14" s="14"/>
      <c r="K14" s="14"/>
      <c r="L14" s="14"/>
      <c r="M14" s="14"/>
      <c r="N14" s="80"/>
      <c r="O14" s="30"/>
    </row>
    <row r="15" spans="1:20" x14ac:dyDescent="0.3">
      <c r="B15" s="34"/>
      <c r="C15" s="36"/>
      <c r="D15" s="74"/>
      <c r="E15" s="75"/>
      <c r="F15" s="75"/>
      <c r="G15" s="76"/>
      <c r="H15" s="30"/>
      <c r="I15" s="36"/>
      <c r="J15" s="35"/>
      <c r="K15" s="37"/>
      <c r="L15" s="38"/>
      <c r="M15" s="38"/>
      <c r="N15" s="38"/>
      <c r="O15" s="30"/>
    </row>
    <row r="16" spans="1:20" x14ac:dyDescent="0.3">
      <c r="B16" s="81" t="s">
        <v>16</v>
      </c>
      <c r="C16" s="81"/>
      <c r="D16" s="74"/>
      <c r="E16" s="75"/>
      <c r="F16" s="75"/>
      <c r="G16" s="68"/>
      <c r="H16" s="30"/>
      <c r="I16" s="36"/>
      <c r="J16" s="35"/>
      <c r="K16" s="37"/>
      <c r="L16" s="38"/>
      <c r="M16" s="38"/>
      <c r="N16" s="38"/>
      <c r="O16" s="30"/>
    </row>
    <row r="17" spans="2:15" x14ac:dyDescent="0.3">
      <c r="B17" s="5" t="s">
        <v>17</v>
      </c>
      <c r="C17" s="39">
        <v>0</v>
      </c>
      <c r="D17" s="74"/>
      <c r="E17" s="75"/>
      <c r="F17" s="75"/>
      <c r="G17" s="75"/>
      <c r="H17" s="30"/>
      <c r="I17" s="36"/>
      <c r="J17" s="35"/>
      <c r="K17" s="37"/>
      <c r="L17" s="38"/>
      <c r="M17" s="38"/>
      <c r="N17" s="38"/>
      <c r="O17" s="30"/>
    </row>
    <row r="18" spans="2:15" x14ac:dyDescent="0.3">
      <c r="B18" s="40" t="s">
        <v>2</v>
      </c>
      <c r="C18" s="11">
        <v>0</v>
      </c>
      <c r="D18" s="74"/>
      <c r="E18" s="75"/>
      <c r="F18" s="75"/>
      <c r="G18" s="75"/>
      <c r="H18" s="30"/>
      <c r="I18" s="36"/>
      <c r="J18" s="35"/>
      <c r="K18" s="37"/>
      <c r="L18" s="38"/>
      <c r="M18" s="38"/>
      <c r="N18" s="38"/>
      <c r="O18" s="30"/>
    </row>
    <row r="19" spans="2:15" x14ac:dyDescent="0.3">
      <c r="B19" s="40" t="s">
        <v>18</v>
      </c>
      <c r="C19" s="41">
        <f>ROUND((C17*C18),0)</f>
        <v>0</v>
      </c>
      <c r="D19" s="74"/>
      <c r="E19" s="75"/>
      <c r="F19" s="75"/>
      <c r="G19" s="75"/>
      <c r="H19" s="30"/>
      <c r="I19" s="36"/>
      <c r="J19" s="35"/>
      <c r="K19" s="37"/>
      <c r="L19" s="38"/>
      <c r="M19" s="38"/>
      <c r="N19" s="38"/>
      <c r="O19" s="30"/>
    </row>
    <row r="20" spans="2:15" x14ac:dyDescent="0.3">
      <c r="B20" s="34"/>
      <c r="C20" s="36"/>
      <c r="D20" s="69"/>
      <c r="E20" s="69" t="s">
        <v>39</v>
      </c>
      <c r="F20" s="69">
        <v>43339.29</v>
      </c>
      <c r="G20" s="69" t="s">
        <v>42</v>
      </c>
      <c r="H20" s="30"/>
      <c r="I20" s="36"/>
      <c r="J20" s="35"/>
      <c r="K20" s="37"/>
      <c r="L20" s="38"/>
      <c r="M20" s="38"/>
      <c r="N20" s="38"/>
      <c r="O20" s="30"/>
    </row>
    <row r="21" spans="2:15" ht="22.5" customHeight="1" x14ac:dyDescent="0.3">
      <c r="B21" s="82" t="s">
        <v>19</v>
      </c>
      <c r="C21" s="83"/>
      <c r="D21" s="69"/>
      <c r="E21" s="69"/>
      <c r="F21" s="69"/>
      <c r="G21" s="69"/>
      <c r="H21" s="30"/>
      <c r="I21" s="36"/>
      <c r="J21" s="30"/>
      <c r="K21" s="36"/>
      <c r="L21" s="30"/>
      <c r="M21" s="30"/>
      <c r="N21" s="30"/>
      <c r="O21" s="30"/>
    </row>
    <row r="22" spans="2:15" x14ac:dyDescent="0.3">
      <c r="B22" s="5" t="s">
        <v>20</v>
      </c>
      <c r="C22" s="39"/>
      <c r="D22" s="69"/>
      <c r="E22" s="69"/>
      <c r="F22" s="69"/>
      <c r="G22" s="69"/>
      <c r="H22" s="42"/>
      <c r="K22" s="43"/>
    </row>
    <row r="23" spans="2:15" x14ac:dyDescent="0.3">
      <c r="B23" s="40" t="s">
        <v>2</v>
      </c>
      <c r="C23" s="11"/>
      <c r="D23" s="69"/>
      <c r="E23" s="69">
        <f>1507*43300</f>
        <v>65253100</v>
      </c>
      <c r="F23" s="69"/>
      <c r="G23" s="69"/>
      <c r="H23" s="42"/>
      <c r="K23" s="43"/>
    </row>
    <row r="24" spans="2:15" x14ac:dyDescent="0.3">
      <c r="B24" s="40" t="s">
        <v>18</v>
      </c>
      <c r="C24" s="41">
        <v>1000000</v>
      </c>
      <c r="D24" s="69"/>
      <c r="E24" s="84">
        <f>C27</f>
        <v>18152000</v>
      </c>
      <c r="F24" s="69"/>
      <c r="G24" s="69"/>
      <c r="H24" s="42"/>
      <c r="K24" s="43"/>
    </row>
    <row r="25" spans="2:15" x14ac:dyDescent="0.3">
      <c r="B25" s="1"/>
      <c r="C25" s="45"/>
      <c r="D25" s="69"/>
      <c r="E25" s="84">
        <f>E23+E24</f>
        <v>83405100</v>
      </c>
      <c r="F25" s="69"/>
      <c r="G25" s="69"/>
      <c r="H25" s="42"/>
      <c r="K25" s="43"/>
    </row>
    <row r="26" spans="2:15" x14ac:dyDescent="0.3">
      <c r="C26" s="44" t="s">
        <v>21</v>
      </c>
      <c r="D26" s="69"/>
      <c r="E26" s="69"/>
      <c r="F26" s="69"/>
      <c r="G26" s="69"/>
      <c r="H26" s="42"/>
      <c r="K26" s="43"/>
    </row>
    <row r="27" spans="2:15" x14ac:dyDescent="0.3">
      <c r="B27" s="46" t="s">
        <v>0</v>
      </c>
      <c r="C27" s="45">
        <f>C4</f>
        <v>18152000</v>
      </c>
      <c r="D27" s="69"/>
      <c r="E27" s="69"/>
      <c r="F27" s="69"/>
      <c r="G27" s="69"/>
      <c r="H27" s="47"/>
      <c r="K27" s="48"/>
    </row>
    <row r="28" spans="2:15" x14ac:dyDescent="0.3">
      <c r="B28" s="46" t="s">
        <v>4</v>
      </c>
      <c r="C28" s="45">
        <f>L13</f>
        <v>6133490</v>
      </c>
      <c r="D28" s="69"/>
      <c r="E28" s="69"/>
      <c r="F28" s="69"/>
      <c r="G28" s="69"/>
      <c r="H28" s="47"/>
      <c r="K28" s="47"/>
    </row>
    <row r="29" spans="2:15" ht="21" customHeight="1" x14ac:dyDescent="0.3">
      <c r="B29" s="46" t="s">
        <v>31</v>
      </c>
      <c r="C29" s="45">
        <f>C19</f>
        <v>0</v>
      </c>
      <c r="D29" s="69"/>
      <c r="E29" s="69"/>
      <c r="F29" s="69"/>
      <c r="G29" s="69"/>
      <c r="H29" s="47"/>
      <c r="K29" s="47"/>
    </row>
    <row r="30" spans="2:15" x14ac:dyDescent="0.3">
      <c r="B30" s="46" t="s">
        <v>22</v>
      </c>
      <c r="C30" s="45">
        <f>C24</f>
        <v>1000000</v>
      </c>
      <c r="D30" s="69"/>
      <c r="E30" s="69"/>
      <c r="F30" s="69"/>
      <c r="G30" s="69"/>
      <c r="H30" s="47"/>
      <c r="K30" s="47"/>
    </row>
    <row r="31" spans="2:15" x14ac:dyDescent="0.3">
      <c r="B31" s="2" t="s">
        <v>23</v>
      </c>
      <c r="C31" s="20">
        <f>C27+C28+C29+C30</f>
        <v>25285490</v>
      </c>
      <c r="D31" s="69"/>
      <c r="E31" s="69"/>
      <c r="F31" s="69"/>
      <c r="G31" s="69"/>
    </row>
    <row r="32" spans="2:15" x14ac:dyDescent="0.3">
      <c r="B32" s="2" t="s">
        <v>24</v>
      </c>
      <c r="C32" s="20">
        <f>ROUND((C31*0.9),0)</f>
        <v>22756941</v>
      </c>
      <c r="D32" s="71"/>
      <c r="E32" s="69"/>
      <c r="F32" s="70"/>
      <c r="G32" s="69"/>
      <c r="H32" s="49"/>
    </row>
    <row r="33" spans="2:14" hidden="1" x14ac:dyDescent="0.3">
      <c r="B33" s="50" t="s">
        <v>18</v>
      </c>
      <c r="C33" s="45">
        <f>C31*0.8</f>
        <v>20228392</v>
      </c>
      <c r="D33" s="72"/>
      <c r="E33" s="69"/>
      <c r="F33" s="70"/>
      <c r="G33" s="69"/>
    </row>
    <row r="34" spans="2:14" hidden="1" x14ac:dyDescent="0.3">
      <c r="B34" s="52"/>
      <c r="C34" s="45">
        <f>ROUNDUP(C33,0)</f>
        <v>20228392</v>
      </c>
      <c r="D34" s="72"/>
      <c r="E34" s="69"/>
      <c r="F34" s="70"/>
      <c r="G34" s="69"/>
    </row>
    <row r="35" spans="2:14" hidden="1" x14ac:dyDescent="0.3">
      <c r="B35" s="52"/>
      <c r="C35" s="45">
        <f>C34-C33</f>
        <v>0</v>
      </c>
      <c r="D35" s="72"/>
      <c r="E35" s="69"/>
      <c r="F35" s="70"/>
      <c r="G35" s="69"/>
    </row>
    <row r="36" spans="2:14" x14ac:dyDescent="0.3">
      <c r="B36" s="2" t="s">
        <v>25</v>
      </c>
      <c r="C36" s="20">
        <f>ROUND((C31*0.8),0)</f>
        <v>20228392</v>
      </c>
      <c r="D36" s="71"/>
      <c r="E36" s="69"/>
      <c r="F36" s="70"/>
      <c r="G36" s="69"/>
      <c r="H36" s="49"/>
    </row>
    <row r="37" spans="2:14" hidden="1" x14ac:dyDescent="0.3">
      <c r="B37" s="4" t="s">
        <v>18</v>
      </c>
      <c r="C37" s="20" t="e">
        <f>#REF!</f>
        <v>#REF!</v>
      </c>
      <c r="D37" s="72"/>
      <c r="E37" s="69"/>
      <c r="F37" s="70"/>
      <c r="G37" s="69"/>
    </row>
    <row r="38" spans="2:14" hidden="1" x14ac:dyDescent="0.3">
      <c r="B38" s="50"/>
      <c r="C38" s="45" t="e">
        <f>ROUNDUP(C37,0)</f>
        <v>#REF!</v>
      </c>
      <c r="D38" s="72"/>
      <c r="E38" s="69"/>
      <c r="F38" s="69"/>
      <c r="G38" s="69"/>
    </row>
    <row r="39" spans="2:14" hidden="1" x14ac:dyDescent="0.3">
      <c r="B39" s="50"/>
      <c r="C39" s="45" t="e">
        <f>C38-C37</f>
        <v>#REF!</v>
      </c>
      <c r="D39" s="72"/>
      <c r="E39" s="69"/>
      <c r="F39" s="69"/>
      <c r="G39" s="69"/>
    </row>
    <row r="40" spans="2:14" x14ac:dyDescent="0.3">
      <c r="B40" s="2" t="s">
        <v>26</v>
      </c>
      <c r="C40" s="20">
        <f>M13*85%</f>
        <v>7610900</v>
      </c>
      <c r="D40" s="73"/>
      <c r="E40" s="69"/>
      <c r="F40" s="69"/>
      <c r="G40" s="69"/>
      <c r="M40" s="53"/>
      <c r="N40" s="53"/>
    </row>
    <row r="41" spans="2:14" x14ac:dyDescent="0.3">
      <c r="B41" s="46" t="s">
        <v>27</v>
      </c>
      <c r="C41" s="54">
        <f>D4+C28</f>
        <v>6133490</v>
      </c>
      <c r="D41" s="73"/>
      <c r="E41" s="69"/>
      <c r="F41" s="69"/>
      <c r="G41" s="69"/>
      <c r="M41" s="53"/>
      <c r="N41" s="53"/>
    </row>
    <row r="42" spans="2:14" x14ac:dyDescent="0.3">
      <c r="D42" s="69"/>
      <c r="E42" s="69"/>
      <c r="F42" s="67"/>
      <c r="G42" s="67"/>
      <c r="H42" s="18"/>
      <c r="M42" s="53"/>
      <c r="N42" s="53"/>
    </row>
    <row r="43" spans="2:14" x14ac:dyDescent="0.3">
      <c r="D43" s="69"/>
      <c r="E43" s="69"/>
      <c r="F43" s="67"/>
      <c r="G43" s="67"/>
      <c r="H43" s="18"/>
      <c r="K43" s="55"/>
      <c r="M43" s="53"/>
      <c r="N43" s="53"/>
    </row>
    <row r="44" spans="2:14" x14ac:dyDescent="0.3">
      <c r="D44" s="69"/>
      <c r="E44" s="69"/>
      <c r="F44" s="69"/>
      <c r="G44" s="69"/>
      <c r="H44" s="18"/>
      <c r="K44" s="55"/>
      <c r="M44" s="53"/>
      <c r="N44" s="53"/>
    </row>
    <row r="45" spans="2:14" x14ac:dyDescent="0.3">
      <c r="D45" s="69"/>
      <c r="E45" s="69"/>
      <c r="F45" s="69"/>
      <c r="G45" s="69"/>
      <c r="H45" s="51"/>
      <c r="K45" s="55"/>
      <c r="M45" s="53"/>
      <c r="N45" s="53"/>
    </row>
    <row r="46" spans="2:14" x14ac:dyDescent="0.3">
      <c r="D46" s="69"/>
      <c r="E46" s="69"/>
      <c r="F46" s="69"/>
      <c r="G46" s="69"/>
      <c r="H46" s="18"/>
      <c r="K46" s="55"/>
      <c r="M46" s="53"/>
      <c r="N46" s="53"/>
    </row>
    <row r="47" spans="2:14" x14ac:dyDescent="0.3">
      <c r="D47" s="69"/>
      <c r="E47" s="69"/>
      <c r="F47" s="69"/>
      <c r="G47" s="69"/>
      <c r="H47" s="18"/>
      <c r="K47" s="55"/>
      <c r="M47" s="53"/>
      <c r="N47" s="53"/>
    </row>
    <row r="48" spans="2:14" x14ac:dyDescent="0.3">
      <c r="D48" s="4"/>
      <c r="E48" s="4"/>
      <c r="H48" s="18"/>
      <c r="K48" s="55"/>
      <c r="M48" s="53"/>
      <c r="N48" s="53"/>
    </row>
    <row r="49" spans="5:14" x14ac:dyDescent="0.3">
      <c r="E49" s="18"/>
      <c r="F49" s="18"/>
      <c r="G49" s="18"/>
      <c r="H49" s="18"/>
      <c r="K49" s="55"/>
      <c r="M49" s="53"/>
      <c r="N49" s="53"/>
    </row>
    <row r="50" spans="5:14" x14ac:dyDescent="0.3">
      <c r="E50" s="18"/>
      <c r="F50" s="18"/>
      <c r="G50" s="18"/>
      <c r="H50" s="18"/>
    </row>
    <row r="51" spans="5:14" x14ac:dyDescent="0.3">
      <c r="E51" s="18"/>
      <c r="F51" s="18"/>
      <c r="G51" s="18"/>
      <c r="H51" s="18"/>
    </row>
    <row r="61" spans="5:14" x14ac:dyDescent="0.3">
      <c r="F61" s="56"/>
      <c r="G61" s="56"/>
      <c r="H61" s="56"/>
      <c r="I61" s="2"/>
    </row>
    <row r="62" spans="5:14" x14ac:dyDescent="0.3">
      <c r="F62" s="53"/>
      <c r="G62" s="3"/>
      <c r="H62" s="53"/>
    </row>
    <row r="63" spans="5:14" x14ac:dyDescent="0.3">
      <c r="F63" s="53"/>
      <c r="G63" s="53"/>
      <c r="H63" s="57"/>
    </row>
    <row r="64" spans="5:14" x14ac:dyDescent="0.3">
      <c r="F64" s="53"/>
      <c r="G64" s="53"/>
      <c r="H64" s="53"/>
    </row>
    <row r="65" spans="6:8" x14ac:dyDescent="0.3">
      <c r="F65" s="53"/>
      <c r="G65" s="58"/>
      <c r="H65" s="53"/>
    </row>
    <row r="66" spans="6:8" x14ac:dyDescent="0.3">
      <c r="F66" s="53"/>
      <c r="G66" s="53"/>
      <c r="H66" s="53"/>
    </row>
    <row r="67" spans="6:8" x14ac:dyDescent="0.3">
      <c r="F67" s="53"/>
      <c r="G67" s="53"/>
      <c r="H67" s="53"/>
    </row>
    <row r="68" spans="6:8" x14ac:dyDescent="0.3">
      <c r="F68" s="53"/>
      <c r="G68" s="53"/>
      <c r="H68" s="53"/>
    </row>
    <row r="69" spans="6:8" x14ac:dyDescent="0.3">
      <c r="F69" s="53"/>
      <c r="G69" s="53"/>
      <c r="H69" s="53"/>
    </row>
    <row r="70" spans="6:8" x14ac:dyDescent="0.3">
      <c r="F70" s="53"/>
      <c r="G70" s="53"/>
      <c r="H70" s="53"/>
    </row>
    <row r="71" spans="6:8" x14ac:dyDescent="0.3">
      <c r="F71" s="53"/>
      <c r="G71" s="53"/>
      <c r="H71" s="53"/>
    </row>
    <row r="77" spans="6:8" x14ac:dyDescent="0.3">
      <c r="F77" s="59"/>
    </row>
    <row r="78" spans="6:8" x14ac:dyDescent="0.3">
      <c r="F78" s="59"/>
    </row>
    <row r="79" spans="6:8" x14ac:dyDescent="0.3">
      <c r="F79" s="59"/>
    </row>
    <row r="80" spans="6:8" x14ac:dyDescent="0.3">
      <c r="F80" s="59"/>
    </row>
    <row r="81" spans="6:6" x14ac:dyDescent="0.3">
      <c r="F81" s="59"/>
    </row>
    <row r="82" spans="6:6" x14ac:dyDescent="0.3">
      <c r="F82" s="59"/>
    </row>
    <row r="83" spans="6:6" x14ac:dyDescent="0.3">
      <c r="F83" s="59"/>
    </row>
    <row r="84" spans="6:6" x14ac:dyDescent="0.3">
      <c r="F84" s="59"/>
    </row>
    <row r="85" spans="6:6" x14ac:dyDescent="0.3">
      <c r="F85" s="59"/>
    </row>
    <row r="86" spans="6:6" x14ac:dyDescent="0.3">
      <c r="F86" s="59"/>
    </row>
  </sheetData>
  <mergeCells count="2">
    <mergeCell ref="B16:C16"/>
    <mergeCell ref="B21:C21"/>
  </mergeCells>
  <pageMargins left="0.7" right="0.7" top="0.75" bottom="0.75" header="0.3" footer="0.3"/>
  <pageSetup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22D51-CFD3-4EAC-BD3D-B5C090C24C9B}">
  <dimension ref="M9:AB11"/>
  <sheetViews>
    <sheetView workbookViewId="0">
      <selection activeCell="AA22" sqref="AA22"/>
    </sheetView>
  </sheetViews>
  <sheetFormatPr defaultRowHeight="15" x14ac:dyDescent="0.25"/>
  <sheetData>
    <row r="9" spans="13:28" x14ac:dyDescent="0.25">
      <c r="M9">
        <f>80000000/8096.65</f>
        <v>9880.629643124008</v>
      </c>
      <c r="N9" t="s">
        <v>43</v>
      </c>
    </row>
    <row r="11" spans="13:28" x14ac:dyDescent="0.25">
      <c r="AA11">
        <f>52000000/6525</f>
        <v>7969.348659003831</v>
      </c>
      <c r="AB11" t="s">
        <v>44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B5BED-8E0A-4A9A-8EA6-9654B5D012D5}">
  <dimension ref="L14:Y15"/>
  <sheetViews>
    <sheetView workbookViewId="0">
      <selection activeCell="AA23" sqref="AA23"/>
    </sheetView>
  </sheetViews>
  <sheetFormatPr defaultRowHeight="15" x14ac:dyDescent="0.25"/>
  <cols>
    <col min="11" max="11" width="3" customWidth="1"/>
    <col min="12" max="12" width="11.5703125" customWidth="1"/>
  </cols>
  <sheetData>
    <row r="14" spans="12:25" x14ac:dyDescent="0.25">
      <c r="X14">
        <f>62400000/5200</f>
        <v>12000</v>
      </c>
      <c r="Y14" t="s">
        <v>30</v>
      </c>
    </row>
    <row r="15" spans="12:25" x14ac:dyDescent="0.25">
      <c r="L15">
        <f>120000000/12000</f>
        <v>10000</v>
      </c>
      <c r="M15" t="s">
        <v>30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5B8BA-52AE-45A7-BFA4-27991510FF10}">
  <dimension ref="A1"/>
  <sheetViews>
    <sheetView workbookViewId="0">
      <selection activeCell="S35" sqref="S3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Leebo Metals</vt:lpstr>
      <vt:lpstr>Sheet2</vt:lpstr>
      <vt:lpstr>Sheet1</vt:lpstr>
      <vt:lpstr>Location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116-PC</dc:creator>
  <cp:lastModifiedBy>DESK-28 VASTUKALA</cp:lastModifiedBy>
  <dcterms:created xsi:type="dcterms:W3CDTF">2015-06-05T18:17:20Z</dcterms:created>
  <dcterms:modified xsi:type="dcterms:W3CDTF">2025-01-18T13:17:07Z</dcterms:modified>
</cp:coreProperties>
</file>