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Girgaon Commercial\Shree Dhootapapeshwar Ltd\"/>
    </mc:Choice>
  </mc:AlternateContent>
  <xr:revisionPtr revIDLastSave="0" documentId="13_ncr:1_{CDDC0CB3-B13C-45D2-AE9B-A1E1D76F5C62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8" i="4" l="1"/>
  <c r="H47" i="4"/>
  <c r="H41" i="4"/>
  <c r="H40" i="4"/>
  <c r="U37" i="4"/>
  <c r="V37" i="4"/>
  <c r="U36" i="4"/>
  <c r="H46" i="4"/>
  <c r="H45" i="4"/>
  <c r="H44" i="4"/>
  <c r="H39" i="4"/>
  <c r="H37" i="4"/>
  <c r="H38" i="4"/>
  <c r="H36" i="4"/>
  <c r="G38" i="4"/>
  <c r="T37" i="4"/>
  <c r="T36" i="4"/>
  <c r="R37" i="4"/>
  <c r="R36" i="4"/>
  <c r="P3" i="4"/>
  <c r="P2" i="4"/>
  <c r="J46" i="4"/>
  <c r="J39" i="4"/>
  <c r="J38" i="4"/>
  <c r="O38" i="4" s="1"/>
  <c r="I38" i="4"/>
  <c r="O37" i="4"/>
  <c r="O39" i="4" s="1"/>
  <c r="O44" i="4"/>
  <c r="O45" i="4"/>
  <c r="O36" i="4"/>
  <c r="N37" i="4"/>
  <c r="N39" i="4" s="1"/>
  <c r="N44" i="4"/>
  <c r="N45" i="4"/>
  <c r="N36" i="4"/>
  <c r="J37" i="4"/>
  <c r="J44" i="4"/>
  <c r="J45" i="4"/>
  <c r="J36" i="4"/>
  <c r="F45" i="4"/>
  <c r="F44" i="4"/>
  <c r="F37" i="4"/>
  <c r="F36" i="4"/>
  <c r="O46" i="4" l="1"/>
  <c r="N46" i="4"/>
  <c r="N38" i="4"/>
  <c r="C12" i="25"/>
  <c r="C5" i="25" l="1"/>
  <c r="C4" i="25"/>
  <c r="C3" i="25"/>
  <c r="Q2" i="4"/>
  <c r="B2" i="4" s="1"/>
  <c r="C2" i="4" s="1"/>
  <c r="B3" i="4"/>
  <c r="C3" i="4" s="1"/>
  <c r="D3" i="4" s="1"/>
  <c r="P4" i="4"/>
  <c r="Q4" i="4" s="1"/>
  <c r="B4" i="4" s="1"/>
  <c r="C4" i="4" s="1"/>
  <c r="D4" i="4" s="1"/>
  <c r="P5" i="4"/>
  <c r="Q5" i="4" s="1"/>
  <c r="P6" i="4"/>
  <c r="Q6" i="4" s="1"/>
  <c r="B6" i="4" s="1"/>
  <c r="C6" i="4" s="1"/>
  <c r="P7" i="4"/>
  <c r="Q7" i="4" s="1"/>
  <c r="B7" i="4" s="1"/>
  <c r="C7" i="4" s="1"/>
  <c r="D7" i="4" s="1"/>
  <c r="P8" i="4"/>
  <c r="Q8" i="4" s="1"/>
  <c r="B8" i="4" s="1"/>
  <c r="C8" i="4" s="1"/>
  <c r="D8" i="4" s="1"/>
  <c r="P9" i="4"/>
  <c r="Q9" i="4" s="1"/>
  <c r="B9" i="4" s="1"/>
  <c r="C9" i="4" s="1"/>
  <c r="D9" i="4" s="1"/>
  <c r="P10" i="4"/>
  <c r="Q10" i="4" s="1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<sst xmlns="http://schemas.openxmlformats.org/spreadsheetml/2006/main" count="150" uniqueCount="97">
  <si>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</si>
  <si>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</si>
  <si>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</si>
  <si>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</si>
  <si>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</si>
  <si>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</si>
  <si>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</si>
  <si>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</si>
  <si>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</si>
  <si>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</si>
  <si>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</si>
  <si>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</si>
  <si>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</si>
  <si>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</si>
  <si>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</si>
  <si>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</si>
  <si>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</si>
  <si>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</si>
  <si>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</si>
  <si>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</si>
  <si>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</si>
  <si>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</si>
  <si>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</si>
  <si>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</si>
  <si>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</si>
  <si>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</si>
  <si>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</si>
  <si>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</si>
  <si>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</si>
  <si>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</si>
  <si>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</si>
  <si>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</si>
  <si>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</si>
  <si>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</si>
  <si>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</si>
  <si>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</si>
  <si>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</si>
  <si>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</si>
  <si>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</si>
  <si>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</si>
  <si>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</si>
  <si>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</si>
  <si>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</si>
  <si>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</si>
  <si>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</si>
  <si>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</si>
  <si>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</si>
  <si>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</si>
  <si>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</si>
  <si>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</si>
  <si>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</si>
  <si>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</si>
  <si>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</si>
  <si>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</si>
  <si>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</si>
  <si>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</si>
  <si>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</si>
  <si>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</si>
  <si>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</si>
  <si>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</si>
  <si>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</si>
  <si>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</si>
  <si>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</si>
  <si>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</si>
  <si>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</si>
  <si>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</si>
  <si>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</si>
  <si>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</si>
  <si>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</si>
  <si>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</si>
  <si>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</si>
  <si>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</si>
  <si>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</si>
  <si>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</si>
  <si>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</si>
  <si>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</si>
  <si>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</si>
  <si>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</si>
  <si>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</si>
  <si>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</si>
  <si>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</si>
  <si>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</si>
  <si>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</si>
  <si>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</si>
  <si>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</si>
  <si>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PREV VAL - JAGTAP - 2022</t>
  </si>
  <si>
    <t>UNIT NO. 501 &amp; 601</t>
  </si>
  <si>
    <t>UNIT NO</t>
  </si>
  <si>
    <t>RATE</t>
  </si>
  <si>
    <t>503-A</t>
  </si>
  <si>
    <t>JAGTAP - 2022</t>
  </si>
  <si>
    <t>TERRACE</t>
  </si>
  <si>
    <t>IGR-27.04.23</t>
  </si>
  <si>
    <t>IGR-26.04.23</t>
  </si>
  <si>
    <t>TOTAL FMV</t>
  </si>
  <si>
    <t>DISCUSSSED WITH UMANG SIR</t>
  </si>
  <si>
    <t>RUBY MILLS RATE CONFIRMED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</si>
</sst>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  <xf numFmtId="0" fontId="0" fillId="0" borderId="0" xfId="1" applyNumberFormat="1" applyFont="1"/>
    <xf numFmtId="43" fontId="2" fillId="0" borderId="9" xfId="1" applyFont="1" applyBorder="1"/>
    <xf numFmtId="0" fontId="0" fillId="0" borderId="8" xfId="1" applyNumberFormat="1" applyFont="1" applyBorder="1"/>
    <xf numFmtId="43" fontId="2" fillId="0" borderId="8" xfId="1" applyFont="1" applyBorder="1" applyAlignment="1">
      <alignment horizontal="center"/>
    </xf>
    <xf numFmtId="43" fontId="0" fillId="0" borderId="8" xfId="1" applyFont="1" applyBorder="1" applyAlignment="1">
      <alignment horizontal="right"/>
    </xf>
    <xf numFmtId="43" fontId="2" fillId="0" borderId="8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57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A800D5-9FB0-472B-91AF-86124E8FA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10753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F3EFA5-817B-4EC3-8C19-2C10689C7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46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77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83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78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79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80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81</v>
      </c>
      <c r="C8" s="45">
        <f>C7*D13%</f>
        <v>256875.28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82</v>
      </c>
      <c r="C9" s="50">
        <f>C6+C8</f>
        <v>286275.28000000003</v>
      </c>
      <c r="D9" s="51" t="s">
        <v>62</v>
      </c>
      <c r="E9" s="52">
        <f>C9/10.764</f>
        <v>26595.622445187666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2005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20</v>
      </c>
      <c r="D13" s="58">
        <f>D12-C13</f>
        <v>80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workbookViewId="0">
      <selection activeCell="D8" sqref="D8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10800</v>
      </c>
      <c r="C3" s="19" t="s">
        <v>76</v>
      </c>
      <c r="D3" s="6" t="s">
        <v>84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8300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20</v>
      </c>
      <c r="C7" s="20">
        <v>2025</v>
      </c>
    </row>
    <row r="8" spans="1:4" x14ac:dyDescent="0.25">
      <c r="A8" s="13" t="s">
        <v>18</v>
      </c>
      <c r="B8" s="20">
        <f>B9-B7</f>
        <v>40</v>
      </c>
      <c r="C8" s="20">
        <v>2005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30</v>
      </c>
      <c r="C10" s="20"/>
    </row>
    <row r="11" spans="1:4" x14ac:dyDescent="0.25">
      <c r="A11" s="13"/>
      <c r="B11" s="21">
        <f>B10%</f>
        <v>0.3</v>
      </c>
      <c r="C11" s="21"/>
    </row>
    <row r="12" spans="1:4" x14ac:dyDescent="0.25">
      <c r="A12" s="13" t="s">
        <v>21</v>
      </c>
      <c r="B12" s="16">
        <f>B6*B11</f>
        <v>750</v>
      </c>
      <c r="C12" s="19"/>
    </row>
    <row r="13" spans="1:4" x14ac:dyDescent="0.25">
      <c r="A13" s="13" t="s">
        <v>22</v>
      </c>
      <c r="B13" s="16">
        <f>B6-B12</f>
        <v>1750</v>
      </c>
      <c r="C13" s="19"/>
    </row>
    <row r="14" spans="1:4" x14ac:dyDescent="0.25">
      <c r="A14" s="13" t="s">
        <v>15</v>
      </c>
      <c r="B14" s="16">
        <f>B5</f>
        <v>8300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10050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ACA</v>
      </c>
      <c r="B18" s="23">
        <v>0</v>
      </c>
      <c r="C18" s="20"/>
    </row>
    <row r="19" spans="1:4" x14ac:dyDescent="0.25">
      <c r="A19" s="13" t="s">
        <v>74</v>
      </c>
      <c r="B19" s="24">
        <f>B18*B16</f>
        <v>0</v>
      </c>
      <c r="C19" s="65"/>
      <c r="D19" s="58"/>
    </row>
    <row r="20" spans="1:4" x14ac:dyDescent="0.25">
      <c r="A20" s="13" t="s">
        <v>24</v>
      </c>
      <c r="B20" s="25">
        <f>B19*90%</f>
        <v>0</v>
      </c>
      <c r="C20" s="24"/>
      <c r="D20" s="58"/>
    </row>
    <row r="21" spans="1:4" x14ac:dyDescent="0.25">
      <c r="A21" s="13" t="s">
        <v>25</v>
      </c>
      <c r="B21" s="25">
        <f>B19*80%</f>
        <v>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0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tabSelected="1" workbookViewId="0">
      <selection activeCell="F24" sqref="F24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5.28515625" bestFit="1" customWidth="1"/>
    <col min="9" max="9" width="11.85546875" customWidth="1"/>
    <col min="10" max="10" width="15.28515625" bestFit="1" customWidth="1"/>
    <col min="11" max="13" width="0" hidden="1" customWidth="1"/>
    <col min="14" max="15" width="15.28515625" bestFit="1" customWidth="1"/>
    <col min="16" max="16" width="7.140625" customWidth="1"/>
    <col min="17" max="17" width="10.7109375" customWidth="1"/>
    <col min="18" max="18" width="14.42578125" bestFit="1" customWidth="1"/>
    <col min="19" max="19" width="13.85546875" customWidth="1"/>
    <col min="20" max="21" width="9" bestFit="1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350.09910000000002</v>
      </c>
      <c r="C2" s="4">
        <f t="shared" ref="C2:C16" si="1">B2*1.2</f>
        <v>420.11892</v>
      </c>
      <c r="D2" s="4">
        <f t="shared" ref="D2:D16" si="2">C2*1.2</f>
        <v>504.14270399999998</v>
      </c>
      <c r="E2" s="5">
        <f t="shared" ref="E2:E16" si="3">R2</f>
        <v>13300000</v>
      </c>
      <c r="F2" s="4">
        <f t="shared" ref="F2:F15" si="4">ROUND((E2/B2),0)</f>
        <v>37989</v>
      </c>
      <c r="G2" s="4">
        <f t="shared" ref="G2:G15" si="5">ROUND((E2/C2),0)</f>
        <v>31658</v>
      </c>
      <c r="H2" s="4">
        <f t="shared" ref="H2:H15" si="6">ROUND((E2/D2),0)</f>
        <v>26381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>39.03*10.764</f>
        <v>420.11892</v>
      </c>
      <c r="Q2">
        <f t="shared" ref="Q2:Q10" si="9">P2/1.2</f>
        <v>350.09910000000002</v>
      </c>
      <c r="R2" s="2">
        <v>13300000</v>
      </c>
      <c r="S2" s="2" t="s">
        <v>92</v>
      </c>
    </row>
    <row r="3" spans="1:19" x14ac:dyDescent="0.25">
      <c r="A3" s="4">
        <v>2</v>
      </c>
      <c r="B3" s="4">
        <f t="shared" si="0"/>
        <v>4900</v>
      </c>
      <c r="C3" s="4">
        <f t="shared" si="1"/>
        <v>5880</v>
      </c>
      <c r="D3" s="4">
        <f t="shared" si="2"/>
        <v>7056</v>
      </c>
      <c r="E3" s="5">
        <f t="shared" si="3"/>
        <v>180000000</v>
      </c>
      <c r="F3" s="4">
        <f t="shared" si="4"/>
        <v>36735</v>
      </c>
      <c r="G3" s="4">
        <f t="shared" si="5"/>
        <v>30612</v>
      </c>
      <c r="H3" s="4">
        <f t="shared" si="6"/>
        <v>25510</v>
      </c>
      <c r="I3" s="4">
        <f t="shared" si="7"/>
        <v>0</v>
      </c>
      <c r="J3" s="4">
        <f t="shared" si="8"/>
        <v>0</v>
      </c>
      <c r="O3">
        <v>0</v>
      </c>
      <c r="P3">
        <f t="shared" ref="P3" si="10">O3/1.2</f>
        <v>0</v>
      </c>
      <c r="Q3">
        <v>4900</v>
      </c>
      <c r="R3" s="2">
        <v>180000000</v>
      </c>
      <c r="S3" s="2" t="s">
        <v>93</v>
      </c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ref="P4:P10" si="11">O4/1.2</f>
        <v>0</v>
      </c>
      <c r="Q4">
        <f t="shared" si="9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11"/>
        <v>0</v>
      </c>
      <c r="Q5">
        <f t="shared" si="9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1"/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1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1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1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1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2">O11/1.2</f>
        <v>0</v>
      </c>
      <c r="Q11">
        <f t="shared" ref="Q11:Q15" si="13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2"/>
        <v>0</v>
      </c>
      <c r="Q12">
        <f t="shared" si="13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2"/>
        <v>0</v>
      </c>
      <c r="Q13">
        <f t="shared" si="13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2"/>
        <v>0</v>
      </c>
      <c r="Q14">
        <f t="shared" si="13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2"/>
        <v>0</v>
      </c>
      <c r="Q15">
        <f t="shared" si="13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4">ROUND((E16/B16),0)</f>
        <v>#DIV/0!</v>
      </c>
      <c r="G16" s="4" t="e">
        <f t="shared" ref="G16" si="15">ROUND((E16/C16),0)</f>
        <v>#DIV/0!</v>
      </c>
      <c r="H16" s="4" t="e">
        <f t="shared" ref="H16" si="16">ROUND((E16/D16),0)</f>
        <v>#DIV/0!</v>
      </c>
      <c r="I16" s="4">
        <f t="shared" ref="I16" si="17">T16</f>
        <v>0</v>
      </c>
      <c r="J16" s="4">
        <f t="shared" ref="J16" si="18">U16</f>
        <v>0</v>
      </c>
      <c r="O16">
        <v>0</v>
      </c>
      <c r="P16">
        <f t="shared" ref="P16" si="19">O16/1.2</f>
        <v>0</v>
      </c>
      <c r="Q16">
        <f t="shared" ref="Q16" si="20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1">Q17</f>
        <v>0</v>
      </c>
      <c r="C17" s="4">
        <f t="shared" ref="C17:C21" si="22">B17*1.2</f>
        <v>0</v>
      </c>
      <c r="D17" s="4">
        <f t="shared" ref="D17:D21" si="23">C17*1.2</f>
        <v>0</v>
      </c>
      <c r="E17" s="5">
        <f t="shared" ref="E17:E21" si="24">R17</f>
        <v>0</v>
      </c>
      <c r="F17" s="4" t="e">
        <f t="shared" ref="F17" si="25">ROUND((E17/B17),0)</f>
        <v>#DIV/0!</v>
      </c>
      <c r="G17" s="4" t="e">
        <f t="shared" ref="G17" si="26">ROUND((E17/C17),0)</f>
        <v>#DIV/0!</v>
      </c>
      <c r="H17" s="4" t="e">
        <f t="shared" ref="H17" si="27">ROUND((E17/D17),0)</f>
        <v>#DIV/0!</v>
      </c>
      <c r="I17" s="4">
        <f t="shared" ref="I17" si="28">T17</f>
        <v>0</v>
      </c>
      <c r="J17" s="4">
        <f t="shared" ref="J17" si="29">U17</f>
        <v>0</v>
      </c>
      <c r="O17">
        <v>0</v>
      </c>
      <c r="P17">
        <f t="shared" ref="P17" si="30">O17/1.2</f>
        <v>0</v>
      </c>
      <c r="Q17">
        <f t="shared" ref="Q17" si="31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1"/>
        <v>0</v>
      </c>
      <c r="C18" s="4">
        <f t="shared" si="22"/>
        <v>0</v>
      </c>
      <c r="D18" s="4">
        <f t="shared" si="23"/>
        <v>0</v>
      </c>
      <c r="E18" s="5">
        <f t="shared" si="24"/>
        <v>0</v>
      </c>
      <c r="F18" s="4" t="e">
        <f t="shared" ref="F18:F21" si="32">ROUND((E18/B18),0)</f>
        <v>#DIV/0!</v>
      </c>
      <c r="G18" s="4" t="e">
        <f t="shared" ref="G18:G21" si="33">ROUND((E18/C18),0)</f>
        <v>#DIV/0!</v>
      </c>
      <c r="H18" s="4" t="e">
        <f t="shared" ref="H18:H21" si="34">ROUND((E18/D18),0)</f>
        <v>#DIV/0!</v>
      </c>
      <c r="I18" s="4">
        <f t="shared" ref="I18:J21" si="35">T18</f>
        <v>0</v>
      </c>
      <c r="J18" s="4">
        <f t="shared" si="35"/>
        <v>0</v>
      </c>
      <c r="O18">
        <v>0</v>
      </c>
      <c r="P18">
        <f t="shared" ref="P18" si="36">O18/1.2</f>
        <v>0</v>
      </c>
      <c r="Q18">
        <f t="shared" ref="Q18:Q21" si="37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1"/>
        <v>0</v>
      </c>
      <c r="C19" s="4">
        <f t="shared" si="22"/>
        <v>0</v>
      </c>
      <c r="D19" s="4">
        <f t="shared" si="23"/>
        <v>0</v>
      </c>
      <c r="E19" s="5">
        <f t="shared" si="24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>
        <v>0</v>
      </c>
      <c r="P19">
        <f>O19/1.2</f>
        <v>0</v>
      </c>
      <c r="Q19">
        <f t="shared" si="37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8">Q20</f>
        <v>0</v>
      </c>
      <c r="C20" s="4">
        <f t="shared" ref="C20" si="39">B20*1.2</f>
        <v>0</v>
      </c>
      <c r="D20" s="4">
        <f t="shared" ref="D20" si="40">C20*1.2</f>
        <v>0</v>
      </c>
      <c r="E20" s="5">
        <f t="shared" ref="E20" si="41">R20</f>
        <v>0</v>
      </c>
      <c r="F20" s="4" t="e">
        <f t="shared" ref="F20" si="42">ROUND((E20/B20),0)</f>
        <v>#DIV/0!</v>
      </c>
      <c r="G20" s="4" t="e">
        <f t="shared" ref="G20" si="43">ROUND((E20/C20),0)</f>
        <v>#DIV/0!</v>
      </c>
      <c r="H20" s="4" t="e">
        <f t="shared" ref="H20" si="44">ROUND((E20/D20),0)</f>
        <v>#DIV/0!</v>
      </c>
      <c r="I20" s="4">
        <f t="shared" ref="I20" si="45">T20</f>
        <v>0</v>
      </c>
      <c r="J20" s="4">
        <f t="shared" ref="J20" si="46">U20</f>
        <v>0</v>
      </c>
      <c r="O20">
        <v>0</v>
      </c>
      <c r="P20">
        <f t="shared" ref="P20" si="47">O20/1.2</f>
        <v>0</v>
      </c>
      <c r="Q20">
        <f t="shared" ref="Q20" si="48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1"/>
        <v>0</v>
      </c>
      <c r="C21" s="4">
        <f t="shared" si="22"/>
        <v>0</v>
      </c>
      <c r="D21" s="4">
        <f t="shared" si="23"/>
        <v>0</v>
      </c>
      <c r="E21" s="5">
        <f t="shared" si="24"/>
        <v>0</v>
      </c>
      <c r="F21" s="4" t="e">
        <f t="shared" si="32"/>
        <v>#DIV/0!</v>
      </c>
      <c r="G21" s="4" t="e">
        <f t="shared" si="33"/>
        <v>#DIV/0!</v>
      </c>
      <c r="H21" s="4" t="e">
        <f t="shared" si="34"/>
        <v>#DIV/0!</v>
      </c>
      <c r="I21" s="4">
        <f t="shared" si="35"/>
        <v>0</v>
      </c>
      <c r="J21" s="4">
        <f t="shared" si="35"/>
        <v>0</v>
      </c>
      <c r="O21">
        <v>0</v>
      </c>
      <c r="P21">
        <f>O21/1.2</f>
        <v>0</v>
      </c>
      <c r="Q21">
        <f t="shared" si="37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9" t="s">
        <v>96</v>
      </c>
    </row>
    <row r="24" spans="1:19" s="9" customFormat="1" x14ac:dyDescent="0.25">
      <c r="F24" s="61" t="s">
        <v>95</v>
      </c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75</v>
      </c>
      <c r="D28" s="60"/>
      <c r="F28" s="45" t="s">
        <v>71</v>
      </c>
      <c r="G28" s="45">
        <v>0</v>
      </c>
    </row>
    <row r="29" spans="1:19" s="9" customFormat="1" x14ac:dyDescent="0.25">
      <c r="C29" s="60" t="s">
        <v>1</v>
      </c>
      <c r="D29" s="60"/>
      <c r="F29" s="45" t="s">
        <v>72</v>
      </c>
      <c r="G29" s="45"/>
      <c r="H29" s="9" t="e">
        <f>G29/G28</f>
        <v>#DIV/0!</v>
      </c>
    </row>
    <row r="30" spans="1:19" s="9" customFormat="1" x14ac:dyDescent="0.25">
      <c r="F30" s="45" t="s">
        <v>73</v>
      </c>
      <c r="G30" s="45"/>
    </row>
    <row r="31" spans="1:19" s="9" customFormat="1" x14ac:dyDescent="0.25">
      <c r="C31" s="63" t="s">
        <v>85</v>
      </c>
      <c r="D31" s="63"/>
      <c r="F31" s="63" t="s">
        <v>74</v>
      </c>
      <c r="G31" s="63">
        <f>G29*G30</f>
        <v>0</v>
      </c>
      <c r="H31" s="9" t="e">
        <f>G31/D29</f>
        <v>#DIV/0!</v>
      </c>
    </row>
    <row r="32" spans="1:19" s="9" customFormat="1" x14ac:dyDescent="0.25">
      <c r="C32" s="63" t="s">
        <v>86</v>
      </c>
      <c r="D32" s="63"/>
      <c r="F32" s="63" t="s">
        <v>24</v>
      </c>
      <c r="G32" s="63">
        <f>G31*90%</f>
        <v>0</v>
      </c>
    </row>
    <row r="33" spans="3:22" s="9" customFormat="1" x14ac:dyDescent="0.25">
      <c r="C33" s="63"/>
      <c r="D33" s="63"/>
      <c r="F33" s="63" t="s">
        <v>25</v>
      </c>
      <c r="G33" s="63">
        <f>G31*80%</f>
        <v>0</v>
      </c>
    </row>
    <row r="34" spans="3:22" s="9" customFormat="1" x14ac:dyDescent="0.25">
      <c r="C34" s="63"/>
      <c r="D34" s="63"/>
      <c r="I34" s="9" t="s">
        <v>90</v>
      </c>
    </row>
    <row r="35" spans="3:22" s="9" customFormat="1" x14ac:dyDescent="0.25">
      <c r="C35" s="63"/>
      <c r="D35" s="68"/>
      <c r="E35" s="70" t="s">
        <v>87</v>
      </c>
      <c r="F35" s="70" t="s">
        <v>84</v>
      </c>
      <c r="G35" s="70" t="s">
        <v>88</v>
      </c>
      <c r="H35" s="70" t="s">
        <v>74</v>
      </c>
      <c r="I35" s="9" t="s">
        <v>88</v>
      </c>
    </row>
    <row r="36" spans="3:22" s="9" customFormat="1" x14ac:dyDescent="0.25">
      <c r="E36" s="59">
        <v>501</v>
      </c>
      <c r="F36" s="63">
        <f>328.45*10.764</f>
        <v>3535.4357999999997</v>
      </c>
      <c r="G36" s="63">
        <v>46000</v>
      </c>
      <c r="H36" s="63">
        <f>F36*G36</f>
        <v>162630046.79999998</v>
      </c>
      <c r="I36" s="9">
        <v>44700</v>
      </c>
      <c r="J36" s="9">
        <f>I36*F36</f>
        <v>158033980.25999999</v>
      </c>
      <c r="N36" s="9">
        <f>J36*0.9</f>
        <v>142230582.234</v>
      </c>
      <c r="O36" s="9">
        <f>J36*0.8</f>
        <v>126427184.208</v>
      </c>
      <c r="Q36" s="9">
        <v>316.7</v>
      </c>
      <c r="R36" s="9">
        <f>Q36*10.764</f>
        <v>3408.9587999999999</v>
      </c>
      <c r="S36" s="9">
        <v>11.75</v>
      </c>
      <c r="T36" s="9">
        <f>S36*10.764</f>
        <v>126.47699999999999</v>
      </c>
      <c r="U36" s="9">
        <f>R36+T36</f>
        <v>3535.4357999999997</v>
      </c>
    </row>
    <row r="37" spans="3:22" s="9" customFormat="1" x14ac:dyDescent="0.25">
      <c r="E37" s="59">
        <v>601</v>
      </c>
      <c r="F37" s="63">
        <f>497.03*10.764</f>
        <v>5350.0309199999992</v>
      </c>
      <c r="G37" s="63">
        <v>46000</v>
      </c>
      <c r="H37" s="63">
        <f t="shared" ref="H37:H38" si="49">F37*G37</f>
        <v>246101422.31999996</v>
      </c>
      <c r="I37" s="9">
        <v>44700</v>
      </c>
      <c r="J37" s="9">
        <f t="shared" ref="J37:J45" si="50">I37*F37</f>
        <v>239146382.12399995</v>
      </c>
      <c r="N37" s="9">
        <f t="shared" ref="N37:N45" si="51">J37*0.9</f>
        <v>215231743.91159996</v>
      </c>
      <c r="O37" s="9">
        <f t="shared" ref="O37:O45" si="52">J37*0.8</f>
        <v>191317105.69919997</v>
      </c>
      <c r="Q37" s="9">
        <v>480.26</v>
      </c>
      <c r="R37" s="9">
        <f>Q37*10.764</f>
        <v>5169.5186399999993</v>
      </c>
      <c r="S37" s="9">
        <v>339.09</v>
      </c>
      <c r="T37" s="9">
        <f>S37*10.764</f>
        <v>3649.9647599999994</v>
      </c>
      <c r="U37" s="9">
        <f>V37+R37</f>
        <v>5350.0309199999992</v>
      </c>
      <c r="V37" s="9">
        <f>16.77*10.764</f>
        <v>180.51227999999998</v>
      </c>
    </row>
    <row r="38" spans="3:22" s="9" customFormat="1" x14ac:dyDescent="0.25">
      <c r="E38" s="59" t="s">
        <v>91</v>
      </c>
      <c r="F38" s="63">
        <v>3649.96</v>
      </c>
      <c r="G38" s="63">
        <f>G37*0.4</f>
        <v>18400</v>
      </c>
      <c r="H38" s="63">
        <f t="shared" si="49"/>
        <v>67159264</v>
      </c>
      <c r="I38" s="9">
        <f>I37*0.4</f>
        <v>17880</v>
      </c>
      <c r="J38" s="9">
        <f t="shared" ref="J38" si="53">I38*F38</f>
        <v>65261284.799999997</v>
      </c>
      <c r="N38" s="9">
        <f t="shared" ref="N38" si="54">J38*0.9</f>
        <v>58735156.32</v>
      </c>
      <c r="O38" s="9">
        <f t="shared" ref="O38" si="55">J38*0.8</f>
        <v>52209027.840000004</v>
      </c>
    </row>
    <row r="39" spans="3:22" s="9" customFormat="1" x14ac:dyDescent="0.25">
      <c r="E39" s="59"/>
      <c r="F39" s="63"/>
      <c r="G39" s="63" t="s">
        <v>94</v>
      </c>
      <c r="H39" s="63">
        <f>SUM(H36:H38)</f>
        <v>475890733.11999995</v>
      </c>
      <c r="J39" s="62">
        <f>SUM(J36:J38)</f>
        <v>462441647.18399996</v>
      </c>
      <c r="K39" s="62"/>
      <c r="L39" s="62"/>
      <c r="M39" s="62"/>
      <c r="N39" s="62">
        <f>SUM(N36:N38)</f>
        <v>416197482.46559995</v>
      </c>
      <c r="O39" s="62">
        <f>SUM(O36:O38)</f>
        <v>369953317.74720001</v>
      </c>
    </row>
    <row r="40" spans="3:22" s="9" customFormat="1" x14ac:dyDescent="0.25">
      <c r="E40" s="59"/>
      <c r="F40" s="63"/>
      <c r="G40" s="63" t="s">
        <v>24</v>
      </c>
      <c r="H40" s="63">
        <f>H39*0.9</f>
        <v>428301659.80799997</v>
      </c>
      <c r="J40" s="62"/>
      <c r="K40" s="62"/>
      <c r="L40" s="62"/>
      <c r="M40" s="62"/>
      <c r="N40" s="62"/>
      <c r="O40" s="62"/>
    </row>
    <row r="41" spans="3:22" s="9" customFormat="1" x14ac:dyDescent="0.25">
      <c r="E41" s="59"/>
      <c r="F41" s="63"/>
      <c r="G41" s="63" t="s">
        <v>25</v>
      </c>
      <c r="H41" s="63">
        <f>H39*0.8</f>
        <v>380712586.49599999</v>
      </c>
      <c r="J41" s="62"/>
      <c r="K41" s="62"/>
      <c r="L41" s="62"/>
      <c r="M41" s="62"/>
      <c r="N41" s="62"/>
      <c r="O41" s="62"/>
    </row>
    <row r="42" spans="3:22" s="9" customFormat="1" x14ac:dyDescent="0.25">
      <c r="E42" s="67"/>
      <c r="H42" s="62"/>
      <c r="J42" s="62"/>
      <c r="K42" s="62"/>
      <c r="L42" s="62"/>
      <c r="M42" s="62"/>
      <c r="N42" s="62"/>
      <c r="O42" s="62"/>
    </row>
    <row r="43" spans="3:22" s="9" customFormat="1" x14ac:dyDescent="0.25">
      <c r="E43" s="70" t="s">
        <v>87</v>
      </c>
      <c r="F43" s="70" t="s">
        <v>84</v>
      </c>
      <c r="G43" s="70" t="s">
        <v>88</v>
      </c>
      <c r="H43" s="70" t="s">
        <v>74</v>
      </c>
    </row>
    <row r="44" spans="3:22" s="9" customFormat="1" x14ac:dyDescent="0.25">
      <c r="E44" s="69">
        <v>503</v>
      </c>
      <c r="F44" s="45">
        <f>22.75*10.764</f>
        <v>244.88099999999997</v>
      </c>
      <c r="G44" s="45">
        <v>46000</v>
      </c>
      <c r="H44" s="45">
        <f>F44*G44</f>
        <v>11264525.999999998</v>
      </c>
      <c r="I44" s="9">
        <v>44700</v>
      </c>
      <c r="J44" s="9">
        <f t="shared" si="50"/>
        <v>10946180.699999999</v>
      </c>
      <c r="N44" s="9">
        <f t="shared" si="51"/>
        <v>9851562.629999999</v>
      </c>
      <c r="O44" s="9">
        <f t="shared" si="52"/>
        <v>8756944.5600000005</v>
      </c>
    </row>
    <row r="45" spans="3:22" s="9" customFormat="1" x14ac:dyDescent="0.25">
      <c r="E45" s="71" t="s">
        <v>89</v>
      </c>
      <c r="F45" s="45">
        <f>22.75*10.764</f>
        <v>244.88099999999997</v>
      </c>
      <c r="G45" s="45">
        <v>46000</v>
      </c>
      <c r="H45" s="45">
        <f>F45*G45</f>
        <v>11264525.999999998</v>
      </c>
      <c r="I45" s="9">
        <v>44700</v>
      </c>
      <c r="J45" s="9">
        <f t="shared" si="50"/>
        <v>10946180.699999999</v>
      </c>
      <c r="N45" s="9">
        <f t="shared" si="51"/>
        <v>9851562.629999999</v>
      </c>
      <c r="O45" s="9">
        <f t="shared" si="52"/>
        <v>8756944.5600000005</v>
      </c>
    </row>
    <row r="46" spans="3:22" s="9" customFormat="1" x14ac:dyDescent="0.25">
      <c r="E46" s="45"/>
      <c r="F46" s="45"/>
      <c r="G46" s="63" t="s">
        <v>94</v>
      </c>
      <c r="H46" s="63">
        <f>SUM(H44:H45)</f>
        <v>22529051.999999996</v>
      </c>
      <c r="J46" s="62">
        <f>SUM(J44:J45)</f>
        <v>21892361.399999999</v>
      </c>
      <c r="K46" s="62"/>
      <c r="L46" s="62"/>
      <c r="M46" s="62"/>
      <c r="N46" s="62">
        <f>SUM(N44:N45)</f>
        <v>19703125.259999998</v>
      </c>
      <c r="O46" s="62">
        <f>SUM(O44:O45)</f>
        <v>17513889.120000001</v>
      </c>
    </row>
    <row r="47" spans="3:22" x14ac:dyDescent="0.25">
      <c r="E47" s="34"/>
      <c r="F47" s="34"/>
      <c r="G47" s="63" t="s">
        <v>24</v>
      </c>
      <c r="H47" s="72">
        <f>H46*0.9</f>
        <v>20276146.799999997</v>
      </c>
    </row>
    <row r="48" spans="3:22" x14ac:dyDescent="0.25">
      <c r="E48" s="34"/>
      <c r="F48" s="34"/>
      <c r="G48" s="63" t="s">
        <v>25</v>
      </c>
      <c r="H48" s="72">
        <f>H46*0.8</f>
        <v>18023241.599999998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2025-01-09T12:06:24Z</dcterms:modified>
</cp:coreProperties>
</file>