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Ghatkopar (W)\Amritlal Yadav\"/>
    </mc:Choice>
  </mc:AlternateContent>
  <xr:revisionPtr revIDLastSave="0" documentId="13_ncr:1_{16282A60-B4B6-42E8-8E7B-345CB3F2F8C2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C55" i="23" l="1"/>
  <c r="C54" i="23"/>
  <c r="C53" i="23"/>
  <c r="M19" i="23"/>
  <c r="H7" i="4"/>
  <c r="G8" i="4"/>
  <c r="G9" i="4"/>
  <c r="D7" i="4"/>
  <c r="B6" i="4"/>
  <c r="B5" i="4"/>
  <c r="E23" i="23"/>
  <c r="F23" i="23"/>
  <c r="M6" i="23"/>
  <c r="C34" i="23"/>
  <c r="V3" i="4"/>
  <c r="V4" i="4"/>
  <c r="V5" i="4"/>
  <c r="V6" i="4"/>
  <c r="V7" i="4"/>
  <c r="V8" i="4"/>
  <c r="V2" i="4"/>
  <c r="R8" i="4"/>
  <c r="U8" i="4" s="1"/>
  <c r="R7" i="4"/>
  <c r="U7" i="4" s="1"/>
  <c r="R6" i="4"/>
  <c r="R3" i="4"/>
  <c r="R4" i="4"/>
  <c r="R5" i="4"/>
  <c r="R2" i="4"/>
  <c r="N11" i="23"/>
  <c r="N12" i="23"/>
  <c r="N13" i="23"/>
  <c r="I4" i="23"/>
  <c r="E3" i="4" l="1"/>
  <c r="E5" i="4"/>
  <c r="E6" i="4"/>
  <c r="E7" i="4"/>
  <c r="D8" i="4"/>
  <c r="E8" i="4" s="1"/>
  <c r="D9" i="4"/>
  <c r="E9" i="4" s="1"/>
  <c r="D10" i="4"/>
  <c r="D11" i="4"/>
  <c r="D12" i="4"/>
  <c r="E4" i="4"/>
  <c r="E2" i="4"/>
  <c r="C7" i="23"/>
  <c r="T5" i="4"/>
  <c r="T3" i="4"/>
  <c r="T2" i="4"/>
  <c r="T6" i="4"/>
  <c r="U6" i="4"/>
  <c r="U5" i="4"/>
  <c r="U4" i="4"/>
  <c r="T4" i="4"/>
  <c r="U3" i="4"/>
  <c r="U2" i="4"/>
  <c r="D2" i="25"/>
  <c r="D13" i="4"/>
  <c r="D14" i="4"/>
  <c r="R11" i="4" l="1"/>
  <c r="R12" i="4"/>
  <c r="T9" i="4"/>
  <c r="R10" i="4"/>
  <c r="G6" i="4"/>
  <c r="G5" i="4"/>
  <c r="G3" i="4"/>
  <c r="I7" i="4"/>
  <c r="D15" i="4"/>
  <c r="G4" i="4"/>
  <c r="G2" i="4"/>
  <c r="T10" i="4" l="1"/>
  <c r="I4" i="4" l="1"/>
  <c r="I5" i="4"/>
  <c r="I6" i="4"/>
  <c r="I3" i="4"/>
  <c r="I2" i="4"/>
  <c r="E11" i="4"/>
  <c r="E12" i="4"/>
  <c r="J7" i="4" l="1"/>
  <c r="C23" i="23" l="1"/>
  <c r="D16" i="4" l="1"/>
  <c r="I25" i="4"/>
  <c r="I33" i="4" s="1"/>
  <c r="C14" i="23" l="1"/>
  <c r="C3" i="23"/>
  <c r="K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J2" i="4" l="1"/>
  <c r="J3" i="4"/>
  <c r="J4" i="4"/>
  <c r="J5" i="4"/>
  <c r="J6" i="4"/>
  <c r="I30" i="4"/>
  <c r="I31" i="4" s="1"/>
  <c r="E14" i="4"/>
  <c r="L14" i="4"/>
  <c r="K14" i="4"/>
  <c r="E13" i="4"/>
  <c r="L13" i="4"/>
  <c r="K13" i="4"/>
  <c r="L12" i="4"/>
  <c r="K12" i="4"/>
  <c r="J31" i="4" l="1"/>
  <c r="K30" i="4"/>
  <c r="I34" i="4"/>
  <c r="I35" i="4" l="1"/>
  <c r="K27" i="4"/>
  <c r="J33" i="4"/>
  <c r="C84" i="23" l="1"/>
  <c r="C8" i="23"/>
  <c r="C6" i="23"/>
  <c r="C10" i="23" l="1"/>
  <c r="C11" i="23" s="1"/>
  <c r="C12" i="23" s="1"/>
  <c r="C13" i="23" s="1"/>
  <c r="C16" i="23" l="1"/>
  <c r="C19" i="23" s="1"/>
  <c r="C25" i="23" l="1"/>
  <c r="F32" i="23"/>
  <c r="H33" i="23" s="1"/>
  <c r="C21" i="23"/>
  <c r="L18" i="4"/>
  <c r="K18" i="4"/>
  <c r="L17" i="4"/>
  <c r="K17" i="4"/>
  <c r="L16" i="4"/>
  <c r="K16" i="4"/>
  <c r="L15" i="4"/>
  <c r="K15" i="4"/>
  <c r="F33" i="23" l="1"/>
  <c r="B17" i="4"/>
  <c r="B18" i="4"/>
  <c r="D18" i="4" l="1"/>
  <c r="I18" i="4" s="1"/>
  <c r="G18" i="4"/>
  <c r="D17" i="4"/>
  <c r="I17" i="4" s="1"/>
  <c r="G17" i="4"/>
  <c r="I16" i="4"/>
  <c r="G16" i="4"/>
  <c r="E18" i="4"/>
  <c r="J18" i="4" s="1"/>
  <c r="E15" i="4" l="1"/>
  <c r="E16" i="4"/>
  <c r="J16" i="4" s="1"/>
  <c r="E17" i="4"/>
  <c r="J17" i="4" s="1"/>
  <c r="J15" i="4" l="1"/>
  <c r="G15" i="4"/>
  <c r="I15" i="4"/>
  <c r="G10" i="4"/>
  <c r="J10" i="4" s="1"/>
  <c r="I10" i="4"/>
  <c r="I12" i="4"/>
  <c r="G12" i="4"/>
  <c r="J12" i="4" s="1"/>
  <c r="G11" i="4"/>
  <c r="J11" i="4" s="1"/>
  <c r="I11" i="4"/>
  <c r="I13" i="4"/>
  <c r="G13" i="4"/>
  <c r="J13" i="4" s="1"/>
  <c r="I14" i="4"/>
  <c r="G14" i="4"/>
  <c r="J14" i="4"/>
  <c r="J8" i="4" l="1"/>
  <c r="I8" i="4"/>
  <c r="I9" i="4"/>
  <c r="J9" i="4"/>
  <c r="T8" i="4"/>
  <c r="T7" i="4"/>
</calcChain>
</file>

<file path=xl/sharedStrings.xml><?xml version="1.0" encoding="utf-8"?>
<sst xmlns="http://schemas.openxmlformats.org/spreadsheetml/2006/main" count="124" uniqueCount="96">
  <si>
    <t>Sr. No.</t>
  </si>
  <si>
    <t>Value</t>
  </si>
  <si>
    <t>Floor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</si>
  <si>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</si>
  <si>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</si>
  <si>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</si>
  <si>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</si>
  <si>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</si>
  <si>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</si>
  <si>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</si>
  <si>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</si>
  <si>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</si>
  <si>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</si>
  <si>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</si>
  <si>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</si>
  <si>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</si>
  <si>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</si>
  <si>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</si>
  <si>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</si>
  <si>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</si>
  <si>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</si>
  <si>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</si>
  <si>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</si>
  <si>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</si>
  <si>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</si>
  <si>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</si>
  <si>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</si>
  <si>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</si>
  <si>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</si>
  <si>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</si>
  <si>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</si>
  <si>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</si>
  <si>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</si>
  <si>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</si>
  <si>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</si>
  <si>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</si>
  <si>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</si>
  <si>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</si>
  <si>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</si>
  <si>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</si>
  <si>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</si>
  <si>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</si>
  <si>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</si>
  <si>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</si>
  <si>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</si>
  <si>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</si>
  <si>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</si>
  <si>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</si>
  <si>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</si>
  <si>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</si>
  <si>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</si>
  <si>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</si>
  <si>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</si>
  <si>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</si>
  <si>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</si>
  <si>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</si>
  <si>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</si>
  <si>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</si>
  <si>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</si>
  <si>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</si>
  <si>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</si>
  <si>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</si>
  <si>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</si>
  <si>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</si>
  <si>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</si>
  <si>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</si>
  <si>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</si>
  <si>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</si>
  <si>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</si>
  <si>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</si>
  <si>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</si>
  <si>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</si>
  <si>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</si>
  <si>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</si>
  <si>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 xml:space="preserve">SBI (RACPC Ghatkopar -West) </t>
  </si>
  <si>
    <t>SBI -  RACPC Ghatkopar (West) - Amritlal Yadav - Flat no. 15, Chaitanya CHS, Plot no. B-66, Sector - 12, Kharghar, Navi Mumbai</t>
  </si>
  <si>
    <t>Lead No. 13444</t>
  </si>
  <si>
    <t>Amritlal Yadav</t>
  </si>
  <si>
    <t>page</t>
  </si>
  <si>
    <t>MOU</t>
  </si>
  <si>
    <t>28.12.2024</t>
  </si>
  <si>
    <t>As per OC</t>
  </si>
  <si>
    <t>Plot</t>
  </si>
  <si>
    <t>SqM.</t>
  </si>
  <si>
    <t>Sq.Ft</t>
  </si>
  <si>
    <t>D20</t>
  </si>
  <si>
    <t>C-33</t>
  </si>
  <si>
    <t>BUA SqM.</t>
  </si>
  <si>
    <t>Ground</t>
  </si>
  <si>
    <t>1st Flr</t>
  </si>
  <si>
    <t>Total</t>
  </si>
  <si>
    <t>Top Terr</t>
  </si>
  <si>
    <t>Rate on Plot area</t>
  </si>
  <si>
    <t>Plot area sq. Ft.</t>
  </si>
  <si>
    <t>CA area</t>
  </si>
  <si>
    <t>GR. Flr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</si>
</sst>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17" fillId="0" borderId="0" xfId="0" applyFont="1" applyAlignment="1">
      <alignment horizontal="center"/>
    </xf>
    <xf numFmtId="0" fontId="1" fillId="0" borderId="2" xfId="0" applyFont="1" applyBorder="1"/>
    <xf numFmtId="43" fontId="17" fillId="0" borderId="0" xfId="1" applyFont="1" applyBorder="1"/>
    <xf numFmtId="0" fontId="17" fillId="0" borderId="0" xfId="0" applyFont="1"/>
    <xf numFmtId="10" fontId="17" fillId="0" borderId="0" xfId="0" applyNumberFormat="1" applyFont="1"/>
    <xf numFmtId="43" fontId="17" fillId="2" borderId="0" xfId="1" applyFont="1" applyFill="1" applyBorder="1"/>
    <xf numFmtId="43" fontId="1" fillId="2" borderId="0" xfId="0" applyNumberFormat="1" applyFont="1" applyFill="1"/>
    <xf numFmtId="0" fontId="2" fillId="0" borderId="0" xfId="0" applyFont="1" applyAlignment="1">
      <alignment horizontal="center"/>
    </xf>
    <xf numFmtId="0" fontId="17" fillId="2" borderId="0" xfId="0" applyFont="1" applyFill="1" applyAlignment="1">
      <alignment horizontal="center"/>
    </xf>
    <xf numFmtId="43" fontId="2" fillId="2" borderId="0" xfId="1" applyFont="1" applyFill="1"/>
    <xf numFmtId="0" fontId="2" fillId="2" borderId="4" xfId="0" applyFont="1" applyFill="1" applyBorder="1"/>
    <xf numFmtId="2" fontId="17" fillId="2" borderId="0" xfId="0" applyNumberFormat="1" applyFont="1" applyFill="1" applyAlignment="1">
      <alignment horizontal="center"/>
    </xf>
    <xf numFmtId="0" fontId="17" fillId="2" borderId="0" xfId="0" applyFont="1" applyFill="1"/>
    <xf numFmtId="3" fontId="18" fillId="2" borderId="0" xfId="0" applyNumberFormat="1" applyFont="1" applyFill="1"/>
    <xf numFmtId="1" fontId="17" fillId="2" borderId="0" xfId="0" applyNumberFormat="1" applyFont="1" applyFill="1" applyAlignment="1">
      <alignment horizontal="center"/>
    </xf>
    <xf numFmtId="0" fontId="1" fillId="2" borderId="0" xfId="0" applyFont="1" applyFill="1"/>
    <xf numFmtId="1" fontId="0" fillId="2" borderId="0" xfId="0" applyNumberFormat="1" applyFill="1"/>
    <xf numFmtId="3" fontId="0" fillId="2" borderId="0" xfId="0" applyNumberFormat="1" applyFill="1"/>
    <xf numFmtId="4" fontId="0" fillId="2" borderId="0" xfId="0" applyNumberFormat="1" applyFill="1"/>
    <xf numFmtId="0" fontId="0" fillId="0" borderId="0" xfId="0" applyAlignment="1">
      <alignment vertical="center"/>
    </xf>
    <xf numFmtId="43" fontId="8" fillId="0" borderId="0" xfId="1" applyFont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43" fontId="0" fillId="2" borderId="0" xfId="1" applyFont="1" applyFill="1"/>
    <xf numFmtId="0" fontId="11" fillId="3" borderId="8" xfId="0" applyFont="1" applyFill="1" applyBorder="1" applyAlignment="1">
      <alignment horizontal="center"/>
    </xf>
    <xf numFmtId="43" fontId="11" fillId="3" borderId="8" xfId="1" applyFont="1" applyFill="1" applyBorder="1"/>
    <xf numFmtId="0" fontId="0" fillId="0" borderId="0" xfId="0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10</xdr:col>
      <xdr:colOff>479211</xdr:colOff>
      <xdr:row>20</xdr:row>
      <xdr:rowOff>57978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F0B2B-2B41-76FF-F607-B52FBF79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8913" y="1954696"/>
          <a:ext cx="5283124" cy="24847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12</xdr:col>
      <xdr:colOff>115856</xdr:colOff>
      <xdr:row>81</xdr:row>
      <xdr:rowOff>47954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94F36D-821E-CB07-98E7-9881CC695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5022" y="8058978"/>
          <a:ext cx="8183117" cy="8297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36634</xdr:colOff>
      <xdr:row>0</xdr:row>
      <xdr:rowOff>0</xdr:rowOff>
    </xdr:from>
    <xdr:to>
      <xdr:col>14</xdr:col>
      <xdr:colOff>353656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EAEFDE-52BD-89FE-A638-42778B75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4" y="0"/>
          <a:ext cx="8830907" cy="7230484"/>
        </a:xfrm>
        <a:prstGeom prst="rect">
          <a:avLst/>
        </a:prstGeom>
      </xdr:spPr>
    </xdr:pic>
    <xdr:clientData/>
  </xdr:twoCellAnchor>
  <xdr:twoCellAnchor>
    <xdr:from>
      <xdr:col>0</xdr:col>
      <xdr:colOff>402981</xdr:colOff>
      <xdr:row>34</xdr:row>
      <xdr:rowOff>29308</xdr:rowOff>
    </xdr:from>
    <xdr:to>
      <xdr:col>9</xdr:col>
      <xdr:colOff>234461</xdr:colOff>
      <xdr:row>35</xdr:row>
      <xdr:rowOff>168519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877131E-2CFB-091F-C981-D7ADE0332FAB}"/>
            </a:ext>
          </a:extLst>
        </xdr:cNvPr>
        <xdr:cNvSpPr/>
      </xdr:nvSpPr>
      <xdr:spPr>
        <a:xfrm>
          <a:off x="402981" y="6506308"/>
          <a:ext cx="5304692" cy="32971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48908</xdr:colOff>
      <xdr:row>22</xdr:row>
      <xdr:rowOff>133954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165B36-21D2-BDC8-85BF-83E5B464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92908" cy="4324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10</xdr:col>
      <xdr:colOff>601010</xdr:colOff>
      <xdr:row>63</xdr:row>
      <xdr:rowOff>105800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2F8158-A8C0-75D7-F106-BCAFDFC4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00"/>
          <a:ext cx="6697010" cy="734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10</xdr:col>
      <xdr:colOff>362851</xdr:colOff>
      <xdr:row>147</xdr:row>
      <xdr:rowOff>58195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E91467-A956-7561-CCB2-530ECD35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73000"/>
          <a:ext cx="6458851" cy="7487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13</xdr:col>
      <xdr:colOff>286896</xdr:colOff>
      <xdr:row>231</xdr:row>
      <xdr:rowOff>48669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0CBF8DD-D40A-4C45-0AFF-5E1C2443C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574000"/>
          <a:ext cx="8211696" cy="7478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28575</xdr:rowOff>
    </xdr:from>
    <xdr:to>
      <xdr:col>12</xdr:col>
      <xdr:colOff>286811</xdr:colOff>
      <xdr:row>189</xdr:row>
      <xdr:rowOff>39165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73FD10-67C9-CEBA-11CB-0329321A1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0412075"/>
          <a:ext cx="7602011" cy="7630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10</xdr:col>
      <xdr:colOff>153272</xdr:colOff>
      <xdr:row>105</xdr:row>
      <xdr:rowOff>124906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2BF4D88-A959-BC15-BEC6-0D08EBFFE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2382500"/>
          <a:ext cx="6249272" cy="7744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29</xdr:row>
      <xdr:rowOff>134140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D298EE-441A-8FD2-E484-D94625D72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5658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14</xdr:col>
      <xdr:colOff>286981</xdr:colOff>
      <xdr:row>65</xdr:row>
      <xdr:rowOff>172351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67969C-7873-2851-61B3-F7973989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96000"/>
          <a:ext cx="8821381" cy="64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14</xdr:col>
      <xdr:colOff>229823</xdr:colOff>
      <xdr:row>98</xdr:row>
      <xdr:rowOff>181798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FA1161-1D34-5810-E8E8-FD7D27D61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8764223" cy="58967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14</xdr:col>
      <xdr:colOff>296507</xdr:colOff>
      <xdr:row>130</xdr:row>
      <xdr:rowOff>67482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62210B-0069-DAB4-DA9D-4B0FB10A6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050000"/>
          <a:ext cx="8830907" cy="5782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14</xdr:col>
      <xdr:colOff>239349</xdr:colOff>
      <xdr:row>163</xdr:row>
      <xdr:rowOff>172272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79D29D-0756-8E9A-3C57-C10677FC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336500"/>
          <a:ext cx="8773749" cy="5887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11</xdr:col>
      <xdr:colOff>353410</xdr:colOff>
      <xdr:row>195</xdr:row>
      <xdr:rowOff>134140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A90694-15EF-76E2-4865-9FA0ACAC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623000"/>
          <a:ext cx="7059010" cy="5658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14</xdr:col>
      <xdr:colOff>248876</xdr:colOff>
      <xdr:row>232</xdr:row>
      <xdr:rowOff>124746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C285C5D-A054-5F71-AE75-F19565131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719000"/>
          <a:ext cx="8783276" cy="6601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14</xdr:col>
      <xdr:colOff>286981</xdr:colOff>
      <xdr:row>264</xdr:row>
      <xdr:rowOff>153192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0CB1E80-961C-CC7D-45BE-07CC1FE4D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4767500"/>
          <a:ext cx="8821381" cy="56776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14</xdr:col>
      <xdr:colOff>267928</xdr:colOff>
      <xdr:row>299</xdr:row>
      <xdr:rowOff>10404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0686359-D3E4-037D-92BB-4272B190C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0673000"/>
          <a:ext cx="8802328" cy="6296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14</xdr:col>
      <xdr:colOff>296507</xdr:colOff>
      <xdr:row>331</xdr:row>
      <xdr:rowOff>38903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CD9A1B6-79C8-8F90-0D5B-0A2F8A97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7340500"/>
          <a:ext cx="8830907" cy="5753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11</xdr:col>
      <xdr:colOff>401042</xdr:colOff>
      <xdr:row>370</xdr:row>
      <xdr:rowOff>105773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85505D3-4EE6-987F-8666-50C6649AE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3436500"/>
          <a:ext cx="7106642" cy="715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14</xdr:col>
      <xdr:colOff>229823</xdr:colOff>
      <xdr:row>416</xdr:row>
      <xdr:rowOff>153591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3B1DCD9-239E-4E75-044D-853CD2B1C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0866000"/>
          <a:ext cx="8764223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27" t="s">
        <v>41</v>
      </c>
      <c r="H2" s="128"/>
    </row>
    <row r="3" spans="2:17" ht="15.75" thickBot="1" x14ac:dyDescent="0.3">
      <c r="B3" s="30" t="s">
        <v>31</v>
      </c>
      <c r="C3" s="32">
        <v>215620</v>
      </c>
      <c r="D3" s="30"/>
      <c r="E3" s="30"/>
      <c r="F3" s="30"/>
      <c r="G3" s="43" t="s">
        <v>42</v>
      </c>
      <c r="H3" s="44" t="s">
        <v>43</v>
      </c>
      <c r="I3" s="45"/>
      <c r="K3" s="46" t="s">
        <v>44</v>
      </c>
      <c r="L3" s="47"/>
      <c r="N3" s="48" t="s">
        <v>45</v>
      </c>
      <c r="O3" s="49"/>
      <c r="P3" s="49"/>
      <c r="Q3" s="50"/>
    </row>
    <row r="4" spans="2:17" ht="27" thickBot="1" x14ac:dyDescent="0.3">
      <c r="B4" s="30" t="s">
        <v>32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22</v>
      </c>
      <c r="L4" s="55" t="s">
        <v>23</v>
      </c>
      <c r="N4" s="43" t="s">
        <v>42</v>
      </c>
      <c r="O4" s="56" t="s">
        <v>43</v>
      </c>
      <c r="P4" s="57"/>
    </row>
    <row r="5" spans="2:17" ht="15.75" thickBot="1" x14ac:dyDescent="0.3">
      <c r="B5" s="30" t="s">
        <v>46</v>
      </c>
      <c r="C5" s="33">
        <f>C3+C4</f>
        <v>323430</v>
      </c>
      <c r="D5" s="34" t="s">
        <v>33</v>
      </c>
      <c r="E5" s="35">
        <f>ROUND(C5/10.764,0)</f>
        <v>30047</v>
      </c>
      <c r="F5" s="34" t="s">
        <v>34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47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24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48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26</v>
      </c>
      <c r="L7" s="58" t="s">
        <v>27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49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50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25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51</v>
      </c>
      <c r="C10" s="33">
        <f>C6+D9</f>
        <v>299028</v>
      </c>
      <c r="D10" s="34" t="s">
        <v>33</v>
      </c>
      <c r="E10" s="35">
        <f>ROUND(C10/10.764,0)</f>
        <v>27780</v>
      </c>
      <c r="F10" s="34" t="s">
        <v>34</v>
      </c>
      <c r="G10" s="51">
        <v>7</v>
      </c>
      <c r="H10" s="52">
        <v>7</v>
      </c>
      <c r="I10" s="53">
        <v>93</v>
      </c>
      <c r="K10" s="66" t="s">
        <v>28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29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35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30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36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37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52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4"/>
  <sheetViews>
    <sheetView tabSelected="1" topLeftCell="A21" zoomScaleNormal="100" workbookViewId="0">
      <selection activeCell="M34" sqref="M3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3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8" customWidth="1"/>
    <col min="9" max="9" width="12" bestFit="1" customWidth="1"/>
    <col min="11" max="11" width="12.5703125" customWidth="1"/>
  </cols>
  <sheetData>
    <row r="1" spans="1:14" x14ac:dyDescent="0.25">
      <c r="A1" s="7"/>
      <c r="B1" s="8"/>
      <c r="C1" s="107"/>
      <c r="D1" s="9"/>
    </row>
    <row r="2" spans="1:14" x14ac:dyDescent="0.25">
      <c r="A2" s="10"/>
      <c r="C2" s="106"/>
      <c r="D2" s="12"/>
      <c r="F2" s="5"/>
      <c r="G2" s="5"/>
      <c r="H2" s="113" t="s">
        <v>73</v>
      </c>
      <c r="I2" s="92" t="s">
        <v>34</v>
      </c>
      <c r="L2" t="s">
        <v>67</v>
      </c>
    </row>
    <row r="3" spans="1:14" ht="18.75" x14ac:dyDescent="0.3">
      <c r="A3" s="10" t="s">
        <v>6</v>
      </c>
      <c r="B3" s="13"/>
      <c r="C3" s="108">
        <f>C4+C5</f>
        <v>16100</v>
      </c>
      <c r="D3" s="14" t="s">
        <v>69</v>
      </c>
      <c r="F3" s="79" t="s">
        <v>64</v>
      </c>
      <c r="G3" s="92" t="s">
        <v>60</v>
      </c>
      <c r="H3" s="84"/>
      <c r="I3" s="81"/>
      <c r="J3" s="84"/>
      <c r="L3" t="s">
        <v>68</v>
      </c>
    </row>
    <row r="4" spans="1:14" ht="30" x14ac:dyDescent="0.25">
      <c r="A4" s="15" t="s">
        <v>7</v>
      </c>
      <c r="B4" s="13"/>
      <c r="C4" s="108">
        <v>2600</v>
      </c>
      <c r="D4" s="16"/>
      <c r="F4" s="91"/>
      <c r="G4" s="114" t="s">
        <v>55</v>
      </c>
      <c r="H4" s="117">
        <v>32</v>
      </c>
      <c r="I4" s="120">
        <f>H4*10.764</f>
        <v>344.44799999999998</v>
      </c>
      <c r="J4" s="118"/>
      <c r="K4" s="3"/>
      <c r="L4" s="125" t="s">
        <v>88</v>
      </c>
      <c r="M4">
        <v>213</v>
      </c>
    </row>
    <row r="5" spans="1:14" x14ac:dyDescent="0.25">
      <c r="A5" s="10" t="s">
        <v>8</v>
      </c>
      <c r="B5" s="13"/>
      <c r="C5" s="108">
        <v>13500</v>
      </c>
      <c r="D5" s="16"/>
      <c r="F5" s="5"/>
      <c r="G5" s="80"/>
      <c r="H5" s="80"/>
      <c r="I5" s="81"/>
      <c r="L5" t="s">
        <v>89</v>
      </c>
      <c r="M5">
        <v>213</v>
      </c>
    </row>
    <row r="6" spans="1:14" x14ac:dyDescent="0.25">
      <c r="A6" s="10" t="s">
        <v>9</v>
      </c>
      <c r="B6" s="13"/>
      <c r="C6" s="108">
        <f>C4</f>
        <v>2600</v>
      </c>
      <c r="D6" s="16"/>
      <c r="F6" s="5"/>
      <c r="G6" s="80"/>
      <c r="H6" s="84"/>
      <c r="I6" s="81"/>
      <c r="L6" s="4" t="s">
        <v>90</v>
      </c>
      <c r="M6" s="4">
        <f>SUM(M4:M5)</f>
        <v>426</v>
      </c>
    </row>
    <row r="7" spans="1:14" x14ac:dyDescent="0.25">
      <c r="A7" s="10" t="s">
        <v>10</v>
      </c>
      <c r="B7" s="17"/>
      <c r="C7" s="109">
        <f>E9-E8</f>
        <v>23</v>
      </c>
      <c r="D7" s="18"/>
      <c r="E7" s="3"/>
      <c r="L7" s="4" t="s">
        <v>91</v>
      </c>
      <c r="M7" s="4">
        <v>225</v>
      </c>
    </row>
    <row r="8" spans="1:14" x14ac:dyDescent="0.25">
      <c r="A8" s="10" t="s">
        <v>11</v>
      </c>
      <c r="B8" s="17"/>
      <c r="C8" s="109">
        <f>C9-C7</f>
        <v>37</v>
      </c>
      <c r="D8" s="92" t="s">
        <v>81</v>
      </c>
      <c r="E8" s="92">
        <v>2001</v>
      </c>
      <c r="F8" s="5"/>
    </row>
    <row r="9" spans="1:14" x14ac:dyDescent="0.25">
      <c r="A9" s="10" t="s">
        <v>12</v>
      </c>
      <c r="B9" s="17"/>
      <c r="C9" s="109">
        <v>60</v>
      </c>
      <c r="D9" s="93"/>
      <c r="E9" s="92">
        <v>2024</v>
      </c>
      <c r="M9" s="78"/>
    </row>
    <row r="10" spans="1:14" ht="30" x14ac:dyDescent="0.25">
      <c r="A10" s="15" t="s">
        <v>13</v>
      </c>
      <c r="B10" s="17"/>
      <c r="C10" s="109">
        <f>90*C7/C9</f>
        <v>34.5</v>
      </c>
      <c r="D10" s="4"/>
      <c r="E10" s="5"/>
      <c r="F10" s="78"/>
      <c r="G10" s="78"/>
      <c r="L10" s="5"/>
      <c r="M10" s="80" t="s">
        <v>83</v>
      </c>
      <c r="N10" s="80" t="s">
        <v>84</v>
      </c>
    </row>
    <row r="11" spans="1:14" x14ac:dyDescent="0.25">
      <c r="A11" s="10"/>
      <c r="B11" s="19"/>
      <c r="C11" s="110">
        <f>C10%</f>
        <v>0.34499999999999997</v>
      </c>
      <c r="D11" s="20"/>
      <c r="E11" s="3"/>
      <c r="L11" s="80" t="s">
        <v>82</v>
      </c>
      <c r="M11" s="5">
        <v>32</v>
      </c>
      <c r="N11" s="122">
        <f>M11*10.764</f>
        <v>344.44799999999998</v>
      </c>
    </row>
    <row r="12" spans="1:14" x14ac:dyDescent="0.25">
      <c r="A12" s="10" t="s">
        <v>14</v>
      </c>
      <c r="B12" s="13"/>
      <c r="C12" s="108">
        <f>C6*C11</f>
        <v>896.99999999999989</v>
      </c>
      <c r="D12" s="16"/>
      <c r="E12" s="80"/>
      <c r="L12" s="80" t="s">
        <v>55</v>
      </c>
      <c r="M12" s="5">
        <v>21.6</v>
      </c>
      <c r="N12" s="122">
        <f>M12*10.764</f>
        <v>232.50239999999999</v>
      </c>
    </row>
    <row r="13" spans="1:14" x14ac:dyDescent="0.25">
      <c r="A13" s="10" t="s">
        <v>15</v>
      </c>
      <c r="B13" s="13"/>
      <c r="C13" s="108">
        <f>C6-C12</f>
        <v>1703</v>
      </c>
      <c r="D13" s="16"/>
      <c r="L13" s="80" t="s">
        <v>60</v>
      </c>
      <c r="M13" s="5">
        <v>18.73</v>
      </c>
      <c r="N13" s="122">
        <f>M13*10.764</f>
        <v>201.60971999999998</v>
      </c>
    </row>
    <row r="14" spans="1:14" x14ac:dyDescent="0.25">
      <c r="A14" s="10" t="s">
        <v>8</v>
      </c>
      <c r="B14" s="13"/>
      <c r="C14" s="108">
        <f>C5</f>
        <v>13500</v>
      </c>
      <c r="D14" s="16"/>
      <c r="F14" s="78"/>
      <c r="G14" s="78"/>
      <c r="H14" s="4"/>
    </row>
    <row r="15" spans="1:14" x14ac:dyDescent="0.25">
      <c r="B15" s="13"/>
      <c r="C15" s="108"/>
      <c r="D15" s="16"/>
      <c r="H15" s="4"/>
    </row>
    <row r="16" spans="1:14" x14ac:dyDescent="0.25">
      <c r="A16" s="21" t="s">
        <v>16</v>
      </c>
      <c r="B16" s="22"/>
      <c r="C16" s="111">
        <f>C14+C13</f>
        <v>15203</v>
      </c>
      <c r="D16" s="14"/>
      <c r="E16" s="38"/>
      <c r="H16" s="78"/>
    </row>
    <row r="17" spans="1:13" x14ac:dyDescent="0.25">
      <c r="B17" s="17"/>
      <c r="C17" s="109"/>
      <c r="D17" s="18"/>
      <c r="H17" s="78"/>
    </row>
    <row r="18" spans="1:13" ht="26.25" x14ac:dyDescent="0.4">
      <c r="A18" s="116" t="s">
        <v>55</v>
      </c>
      <c r="B18" s="5"/>
      <c r="C18" s="119">
        <v>344</v>
      </c>
      <c r="D18" s="102"/>
      <c r="E18" s="103"/>
      <c r="H18" s="109"/>
    </row>
    <row r="19" spans="1:13" x14ac:dyDescent="0.25">
      <c r="A19" s="10"/>
      <c r="B19" s="4"/>
      <c r="C19" s="104">
        <f>C18*C16</f>
        <v>5229832</v>
      </c>
      <c r="D19" s="3" t="s">
        <v>39</v>
      </c>
      <c r="E19" s="104"/>
      <c r="H19" s="4"/>
      <c r="M19" s="94">
        <f>C18+233</f>
        <v>577</v>
      </c>
    </row>
    <row r="20" spans="1:13" x14ac:dyDescent="0.25">
      <c r="A20" s="10"/>
      <c r="B20" s="38"/>
      <c r="C20" s="83">
        <v>0</v>
      </c>
      <c r="D20" s="3" t="s">
        <v>17</v>
      </c>
      <c r="E20" s="83"/>
      <c r="F20" s="6"/>
      <c r="H20" s="78"/>
    </row>
    <row r="21" spans="1:13" x14ac:dyDescent="0.25">
      <c r="A21" s="10"/>
      <c r="C21" s="83">
        <f>C19*80%</f>
        <v>4183865.6</v>
      </c>
      <c r="D21" s="3" t="s">
        <v>18</v>
      </c>
      <c r="E21" s="83"/>
      <c r="F21" s="38"/>
    </row>
    <row r="22" spans="1:13" x14ac:dyDescent="0.25">
      <c r="A22" s="10"/>
      <c r="D22" s="3"/>
      <c r="E22" s="83"/>
    </row>
    <row r="23" spans="1:13" x14ac:dyDescent="0.25">
      <c r="A23" s="24" t="s">
        <v>19</v>
      </c>
      <c r="B23" s="25"/>
      <c r="C23" s="105">
        <f>C4*D23</f>
        <v>605800</v>
      </c>
      <c r="D23" s="105">
        <v>233</v>
      </c>
      <c r="E23" s="83">
        <f>233*21500</f>
        <v>5009500</v>
      </c>
      <c r="F23">
        <f>C18*25000</f>
        <v>8600000</v>
      </c>
    </row>
    <row r="24" spans="1:13" x14ac:dyDescent="0.25">
      <c r="A24" s="10" t="s">
        <v>20</v>
      </c>
      <c r="D24" s="3"/>
      <c r="E24" s="3"/>
    </row>
    <row r="25" spans="1:13" x14ac:dyDescent="0.25">
      <c r="A25" s="26" t="s">
        <v>21</v>
      </c>
      <c r="B25" s="11"/>
      <c r="C25" s="83">
        <f>C19*0.03/12</f>
        <v>13074.58</v>
      </c>
      <c r="D25" s="83"/>
      <c r="E25" s="83"/>
    </row>
    <row r="26" spans="1:13" x14ac:dyDescent="0.25">
      <c r="C26" s="83"/>
      <c r="D26" s="23"/>
      <c r="F26" s="80" t="s">
        <v>76</v>
      </c>
    </row>
    <row r="27" spans="1:13" x14ac:dyDescent="0.25">
      <c r="A27" s="5" t="s">
        <v>75</v>
      </c>
      <c r="B27" s="5"/>
      <c r="C27" s="112"/>
      <c r="D27" s="82"/>
    </row>
    <row r="28" spans="1:13" x14ac:dyDescent="0.25">
      <c r="D28" s="78"/>
    </row>
    <row r="29" spans="1:13" x14ac:dyDescent="0.25">
      <c r="A29" s="80" t="s">
        <v>79</v>
      </c>
      <c r="B29" s="115">
        <v>5750000</v>
      </c>
      <c r="D29"/>
      <c r="G29" s="3"/>
      <c r="H29" s="3"/>
    </row>
    <row r="30" spans="1:13" ht="18.75" x14ac:dyDescent="0.3">
      <c r="A30" s="80" t="s">
        <v>80</v>
      </c>
      <c r="B30" s="80"/>
      <c r="D30"/>
      <c r="E30" s="131" t="s">
        <v>74</v>
      </c>
      <c r="F30" s="131"/>
      <c r="G30" s="121"/>
      <c r="H30" s="121"/>
      <c r="I30" s="5"/>
    </row>
    <row r="31" spans="1:13" ht="18.75" x14ac:dyDescent="0.3">
      <c r="D31"/>
      <c r="E31" s="131" t="s">
        <v>77</v>
      </c>
      <c r="F31" s="131"/>
      <c r="G31" s="121"/>
      <c r="H31" s="121"/>
      <c r="I31" s="5"/>
    </row>
    <row r="32" spans="1:13" ht="18.75" x14ac:dyDescent="0.3">
      <c r="B32" s="38"/>
      <c r="D32"/>
      <c r="E32" s="132" t="s">
        <v>39</v>
      </c>
      <c r="F32" s="132">
        <f>C19</f>
        <v>5229832</v>
      </c>
      <c r="G32" s="121"/>
      <c r="H32" s="121"/>
      <c r="I32" s="5"/>
    </row>
    <row r="33" spans="1:9" ht="18.75" x14ac:dyDescent="0.3">
      <c r="D33"/>
      <c r="E33" s="132" t="s">
        <v>18</v>
      </c>
      <c r="F33" s="132">
        <f>F32*80%</f>
        <v>4183865.6</v>
      </c>
      <c r="G33" s="121"/>
      <c r="H33" s="112">
        <f>F32*70</f>
        <v>366088240</v>
      </c>
      <c r="I33" s="5"/>
    </row>
    <row r="34" spans="1:9" ht="18.75" x14ac:dyDescent="0.3">
      <c r="C34" s="3">
        <f>6000000/344</f>
        <v>17441.860465116279</v>
      </c>
      <c r="D34"/>
      <c r="E34" s="132"/>
      <c r="F34" s="132"/>
      <c r="G34" s="121"/>
      <c r="H34" s="121"/>
      <c r="I34" s="5"/>
    </row>
    <row r="35" spans="1:9" x14ac:dyDescent="0.25">
      <c r="D35"/>
      <c r="E35" s="121"/>
      <c r="F35" s="121"/>
      <c r="G35" s="121"/>
      <c r="H35" s="121"/>
      <c r="I35" s="5"/>
    </row>
    <row r="36" spans="1:9" x14ac:dyDescent="0.25">
      <c r="D36"/>
      <c r="E36" s="121"/>
      <c r="F36" s="121"/>
      <c r="G36" s="121"/>
      <c r="H36" s="121"/>
      <c r="I36" s="5"/>
    </row>
    <row r="37" spans="1:9" x14ac:dyDescent="0.25">
      <c r="D37"/>
      <c r="E37" s="3"/>
      <c r="F37" s="3"/>
      <c r="G37" s="3"/>
      <c r="H37" s="3"/>
    </row>
    <row r="38" spans="1:9" x14ac:dyDescent="0.25">
      <c r="D38"/>
      <c r="E38" s="3"/>
      <c r="F38" s="3"/>
      <c r="G38" s="3"/>
      <c r="H38" s="3"/>
    </row>
    <row r="39" spans="1:9" x14ac:dyDescent="0.25">
      <c r="D39"/>
    </row>
    <row r="40" spans="1:9" x14ac:dyDescent="0.25">
      <c r="D40"/>
    </row>
    <row r="46" spans="1:9" x14ac:dyDescent="0.25">
      <c r="A46" s="27"/>
    </row>
    <row r="52" spans="1:3" x14ac:dyDescent="0.25">
      <c r="B52" s="133" t="s">
        <v>95</v>
      </c>
      <c r="C52" s="133">
        <v>15.96</v>
      </c>
    </row>
    <row r="53" spans="1:3" x14ac:dyDescent="0.25">
      <c r="B53" s="133" t="s">
        <v>89</v>
      </c>
      <c r="C53" s="133">
        <f>C52</f>
        <v>15.96</v>
      </c>
    </row>
    <row r="54" spans="1:3" x14ac:dyDescent="0.25">
      <c r="B54" s="133" t="s">
        <v>58</v>
      </c>
      <c r="C54" s="133">
        <f>SUM(C52:C53)</f>
        <v>31.92</v>
      </c>
    </row>
    <row r="55" spans="1:3" x14ac:dyDescent="0.25">
      <c r="B55" s="133"/>
      <c r="C55" s="133">
        <f>C54*10.764</f>
        <v>343.58688000000001</v>
      </c>
    </row>
    <row r="59" spans="1:3" ht="15.75" x14ac:dyDescent="0.25">
      <c r="A59" s="28"/>
    </row>
    <row r="60" spans="1:3" ht="15.75" x14ac:dyDescent="0.25">
      <c r="A60" s="28"/>
    </row>
    <row r="61" spans="1:3" ht="15.75" x14ac:dyDescent="0.25">
      <c r="A61" s="28"/>
    </row>
    <row r="62" spans="1:3" ht="15.75" x14ac:dyDescent="0.25">
      <c r="A62" s="28"/>
    </row>
    <row r="63" spans="1:3" ht="15.75" x14ac:dyDescent="0.25">
      <c r="A63" s="28"/>
    </row>
    <row r="64" spans="1:3" ht="15.75" x14ac:dyDescent="0.25">
      <c r="A64" s="28"/>
    </row>
    <row r="65" spans="1:1" ht="15.75" x14ac:dyDescent="0.25">
      <c r="A65" s="28"/>
    </row>
    <row r="84" spans="3:3" x14ac:dyDescent="0.25">
      <c r="C84" s="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5"/>
  <sheetViews>
    <sheetView topLeftCell="G1" zoomScaleNormal="100" workbookViewId="0">
      <selection activeCell="U2" sqref="U2"/>
    </sheetView>
  </sheetViews>
  <sheetFormatPr defaultRowHeight="15" x14ac:dyDescent="0.25"/>
  <cols>
    <col min="1" max="1" width="11" customWidth="1"/>
    <col min="2" max="2" width="11.140625" bestFit="1" customWidth="1"/>
    <col min="3" max="3" width="11.140625" customWidth="1"/>
    <col min="4" max="4" width="12.5703125" customWidth="1"/>
    <col min="5" max="5" width="17.42578125" customWidth="1"/>
    <col min="6" max="6" width="18.7109375" customWidth="1"/>
    <col min="7" max="8" width="14" customWidth="1"/>
    <col min="9" max="9" width="22.28515625" customWidth="1"/>
    <col min="10" max="10" width="12" customWidth="1"/>
    <col min="11" max="11" width="17" customWidth="1"/>
    <col min="12" max="12" width="9.85546875" customWidth="1"/>
    <col min="13" max="15" width="0" hidden="1" customWidth="1"/>
    <col min="16" max="16" width="9.5703125" customWidth="1"/>
    <col min="17" max="18" width="12.85546875" customWidth="1"/>
    <col min="19" max="19" width="19.140625" customWidth="1"/>
    <col min="20" max="20" width="12.85546875" customWidth="1"/>
    <col min="21" max="21" width="16.140625" customWidth="1"/>
    <col min="22" max="22" width="13.85546875" customWidth="1"/>
    <col min="23" max="23" width="8.85546875" customWidth="1"/>
    <col min="24" max="24" width="6.28515625" customWidth="1"/>
    <col min="30" max="30" width="10.42578125" bestFit="1" customWidth="1"/>
    <col min="34" max="34" width="10.42578125" bestFit="1" customWidth="1"/>
  </cols>
  <sheetData>
    <row r="1" spans="1:34" s="1" customFormat="1" ht="60" x14ac:dyDescent="0.25">
      <c r="A1" s="1" t="s">
        <v>0</v>
      </c>
      <c r="B1" s="1" t="s">
        <v>93</v>
      </c>
      <c r="C1" s="1" t="s">
        <v>94</v>
      </c>
      <c r="D1" s="1" t="s">
        <v>71</v>
      </c>
      <c r="E1" s="1" t="s">
        <v>3</v>
      </c>
      <c r="F1" s="1" t="s">
        <v>1</v>
      </c>
      <c r="G1" s="1" t="s">
        <v>92</v>
      </c>
      <c r="I1" s="1" t="s">
        <v>4</v>
      </c>
      <c r="J1" s="1" t="s">
        <v>5</v>
      </c>
      <c r="K1" s="1" t="s">
        <v>2</v>
      </c>
      <c r="L1" s="1" t="s">
        <v>72</v>
      </c>
      <c r="Q1" s="1" t="s">
        <v>87</v>
      </c>
      <c r="R1" s="1" t="s">
        <v>70</v>
      </c>
      <c r="S1" s="1" t="s">
        <v>1</v>
      </c>
      <c r="T1" s="1" t="s">
        <v>66</v>
      </c>
      <c r="U1" s="1" t="s">
        <v>65</v>
      </c>
      <c r="W1" s="2" t="s">
        <v>35</v>
      </c>
      <c r="X1" s="2"/>
      <c r="Y1" s="2"/>
      <c r="Z1" s="2"/>
      <c r="AA1" s="2"/>
    </row>
    <row r="2" spans="1:34" x14ac:dyDescent="0.25">
      <c r="B2">
        <v>350</v>
      </c>
      <c r="D2">
        <v>455</v>
      </c>
      <c r="E2" s="95">
        <f>D2*1.2</f>
        <v>546</v>
      </c>
      <c r="F2" s="95">
        <v>7000000</v>
      </c>
      <c r="G2" s="95">
        <f>F2/B2</f>
        <v>20000</v>
      </c>
      <c r="H2" s="95"/>
      <c r="I2" s="130">
        <f>F2/D2</f>
        <v>15384.615384615385</v>
      </c>
      <c r="J2">
        <f>F2/E2</f>
        <v>12820.51282051282</v>
      </c>
      <c r="L2" s="42">
        <v>40</v>
      </c>
      <c r="Q2" s="94">
        <v>100.22</v>
      </c>
      <c r="R2" s="95">
        <f>Q2*10.764</f>
        <v>1078.7680799999998</v>
      </c>
      <c r="S2" s="95">
        <v>18000000</v>
      </c>
      <c r="T2" s="95" t="e">
        <f>S2/#REF!</f>
        <v>#REF!</v>
      </c>
      <c r="U2" s="95">
        <f t="shared" ref="U2:U8" si="0">S2/R2</f>
        <v>16685.699487882513</v>
      </c>
      <c r="V2" s="95">
        <f>S2/Q2</f>
        <v>179604.86928756736</v>
      </c>
      <c r="W2" s="96">
        <v>2022</v>
      </c>
      <c r="X2" s="3"/>
      <c r="Y2" s="3"/>
      <c r="Z2" s="3"/>
      <c r="AA2" s="3"/>
      <c r="AD2" s="40"/>
    </row>
    <row r="3" spans="1:34" x14ac:dyDescent="0.25">
      <c r="B3" s="100">
        <v>610</v>
      </c>
      <c r="C3" s="100"/>
      <c r="E3" s="95">
        <f t="shared" ref="E3:E9" si="1">D3*1.2</f>
        <v>0</v>
      </c>
      <c r="F3" s="95">
        <v>8000000</v>
      </c>
      <c r="G3" s="95">
        <f t="shared" ref="G3:G9" si="2">F3/B3</f>
        <v>13114.754098360656</v>
      </c>
      <c r="H3" s="95"/>
      <c r="I3" s="85" t="e">
        <f t="shared" ref="I3:I7" si="3">F3/D3</f>
        <v>#DIV/0!</v>
      </c>
      <c r="J3" t="e">
        <f t="shared" ref="J3:J7" si="4">F3/E3</f>
        <v>#DIV/0!</v>
      </c>
      <c r="L3" s="42" t="s">
        <v>85</v>
      </c>
      <c r="Q3" s="123">
        <v>60.104999999999997</v>
      </c>
      <c r="R3" s="124">
        <f t="shared" ref="R3:R8" si="5">Q3*10.764</f>
        <v>646.97021999999993</v>
      </c>
      <c r="S3" s="124">
        <v>13350000</v>
      </c>
      <c r="T3" s="124" t="e">
        <f>S3/#REF!</f>
        <v>#REF!</v>
      </c>
      <c r="U3" s="124">
        <f t="shared" si="0"/>
        <v>20634.643739861785</v>
      </c>
      <c r="V3" s="95">
        <f t="shared" ref="V3:V8" si="6">S3/Q3</f>
        <v>222111.30521587224</v>
      </c>
      <c r="W3" s="96"/>
      <c r="X3" s="3"/>
      <c r="Y3" s="3"/>
      <c r="Z3" s="3"/>
      <c r="AA3" s="3"/>
      <c r="AH3" s="40"/>
    </row>
    <row r="4" spans="1:34" x14ac:dyDescent="0.25">
      <c r="B4" s="78"/>
      <c r="C4" s="78"/>
      <c r="D4">
        <v>750</v>
      </c>
      <c r="E4" s="95">
        <f t="shared" si="1"/>
        <v>900</v>
      </c>
      <c r="F4" s="95">
        <v>6000000</v>
      </c>
      <c r="G4" s="95" t="e">
        <f t="shared" si="2"/>
        <v>#DIV/0!</v>
      </c>
      <c r="H4" s="95"/>
      <c r="I4" s="85">
        <f t="shared" si="3"/>
        <v>8000</v>
      </c>
      <c r="J4">
        <f t="shared" si="4"/>
        <v>6666.666666666667</v>
      </c>
      <c r="L4" s="42">
        <v>7</v>
      </c>
      <c r="Q4" s="94">
        <v>24</v>
      </c>
      <c r="R4" s="95">
        <f t="shared" si="5"/>
        <v>258.33600000000001</v>
      </c>
      <c r="S4" s="95">
        <v>4000000</v>
      </c>
      <c r="T4" s="95" t="e">
        <f>S4/#REF!</f>
        <v>#REF!</v>
      </c>
      <c r="U4" s="95">
        <f t="shared" si="0"/>
        <v>15483.711135885049</v>
      </c>
      <c r="V4" s="95">
        <f t="shared" si="6"/>
        <v>166666.66666666666</v>
      </c>
      <c r="W4" s="96"/>
      <c r="X4" s="3"/>
      <c r="Y4" s="3"/>
      <c r="Z4" s="3"/>
      <c r="AA4" s="3"/>
    </row>
    <row r="5" spans="1:34" x14ac:dyDescent="0.25">
      <c r="B5" s="78">
        <f>40*10.764</f>
        <v>430.55999999999995</v>
      </c>
      <c r="C5" s="78"/>
      <c r="E5" s="95">
        <f t="shared" si="1"/>
        <v>0</v>
      </c>
      <c r="F5" s="95">
        <v>9800000</v>
      </c>
      <c r="G5" s="95">
        <f t="shared" si="2"/>
        <v>22761.055369751026</v>
      </c>
      <c r="H5" s="95"/>
      <c r="I5" s="85" t="e">
        <f t="shared" si="3"/>
        <v>#DIV/0!</v>
      </c>
      <c r="J5" t="e">
        <f t="shared" si="4"/>
        <v>#DIV/0!</v>
      </c>
      <c r="L5" s="42">
        <v>5</v>
      </c>
      <c r="Q5" s="94">
        <v>32</v>
      </c>
      <c r="R5" s="95">
        <f t="shared" si="5"/>
        <v>344.44799999999998</v>
      </c>
      <c r="S5" s="95">
        <v>5850000</v>
      </c>
      <c r="T5" s="95" t="e">
        <f>S5/#REF!</f>
        <v>#REF!</v>
      </c>
      <c r="U5" s="95">
        <f t="shared" si="0"/>
        <v>16983.695652173916</v>
      </c>
      <c r="V5" s="95">
        <f t="shared" si="6"/>
        <v>182812.5</v>
      </c>
      <c r="W5" s="96"/>
      <c r="X5" s="3"/>
      <c r="Y5" s="3"/>
      <c r="Z5" s="3"/>
      <c r="AA5" s="3"/>
    </row>
    <row r="6" spans="1:34" x14ac:dyDescent="0.25">
      <c r="B6" s="78">
        <f>23.42*10.764</f>
        <v>252.09288000000001</v>
      </c>
      <c r="E6" s="95">
        <f t="shared" si="1"/>
        <v>0</v>
      </c>
      <c r="F6" s="95">
        <v>5500000</v>
      </c>
      <c r="G6" s="95">
        <f t="shared" si="2"/>
        <v>21817.35557148619</v>
      </c>
      <c r="H6" s="95"/>
      <c r="I6" s="85" t="e">
        <f t="shared" si="3"/>
        <v>#DIV/0!</v>
      </c>
      <c r="J6" t="e">
        <f t="shared" si="4"/>
        <v>#DIV/0!</v>
      </c>
      <c r="L6" s="42">
        <v>4</v>
      </c>
      <c r="Q6" s="95">
        <v>28</v>
      </c>
      <c r="R6" s="95">
        <f t="shared" si="5"/>
        <v>301.392</v>
      </c>
      <c r="S6" s="95">
        <v>4000000</v>
      </c>
      <c r="T6" s="95" t="e">
        <f>S6/#REF!</f>
        <v>#REF!</v>
      </c>
      <c r="U6" s="95">
        <f t="shared" si="0"/>
        <v>13271.752402187185</v>
      </c>
      <c r="V6" s="95">
        <f t="shared" si="6"/>
        <v>142857.14285714287</v>
      </c>
      <c r="W6" s="96"/>
      <c r="X6" s="3"/>
      <c r="Y6" s="3"/>
      <c r="Z6" s="3"/>
      <c r="AA6" s="3"/>
    </row>
    <row r="7" spans="1:34" x14ac:dyDescent="0.25">
      <c r="C7">
        <v>320</v>
      </c>
      <c r="D7">
        <f>C7*1.2</f>
        <v>384</v>
      </c>
      <c r="E7" s="95">
        <f t="shared" si="1"/>
        <v>460.79999999999995</v>
      </c>
      <c r="F7" s="95">
        <v>7000000</v>
      </c>
      <c r="G7" s="95">
        <v>0</v>
      </c>
      <c r="H7" s="95">
        <f>F7/C7</f>
        <v>21875</v>
      </c>
      <c r="I7" s="85">
        <f t="shared" si="3"/>
        <v>18229.166666666668</v>
      </c>
      <c r="J7">
        <f t="shared" si="4"/>
        <v>15190.972222222224</v>
      </c>
      <c r="L7" s="42">
        <v>113</v>
      </c>
      <c r="Q7" s="95">
        <v>51.88</v>
      </c>
      <c r="R7" s="95">
        <f t="shared" si="5"/>
        <v>558.43632000000002</v>
      </c>
      <c r="S7" s="95">
        <v>18000000</v>
      </c>
      <c r="T7" s="95" t="e">
        <f>V7/#REF!</f>
        <v>#REF!</v>
      </c>
      <c r="U7" s="95">
        <f t="shared" si="0"/>
        <v>32232.860498758389</v>
      </c>
      <c r="V7" s="95">
        <f t="shared" si="6"/>
        <v>346954.51040863531</v>
      </c>
      <c r="W7" s="96"/>
      <c r="X7" s="3"/>
      <c r="Y7" s="3"/>
      <c r="Z7" s="3"/>
      <c r="AA7" s="3"/>
    </row>
    <row r="8" spans="1:34" x14ac:dyDescent="0.25">
      <c r="D8">
        <f t="shared" ref="D8:D12" si="7">B8*1.2</f>
        <v>0</v>
      </c>
      <c r="E8" s="95">
        <f t="shared" si="1"/>
        <v>0</v>
      </c>
      <c r="F8" s="95"/>
      <c r="G8" s="95" t="e">
        <f t="shared" si="2"/>
        <v>#DIV/0!</v>
      </c>
      <c r="H8" s="95"/>
      <c r="I8" s="85" t="e">
        <f t="shared" ref="I8:I9" si="8">G8/D8</f>
        <v>#DIV/0!</v>
      </c>
      <c r="J8" t="e">
        <f t="shared" ref="J8:J13" si="9">G8/E8</f>
        <v>#DIV/0!</v>
      </c>
      <c r="L8" s="42" t="s">
        <v>86</v>
      </c>
      <c r="Q8" s="95">
        <v>43.01</v>
      </c>
      <c r="R8" s="95">
        <f t="shared" si="5"/>
        <v>462.95963999999992</v>
      </c>
      <c r="S8" s="95">
        <v>6800000</v>
      </c>
      <c r="T8" s="95" t="e">
        <f>V8/#REF!</f>
        <v>#REF!</v>
      </c>
      <c r="U8" s="95">
        <f t="shared" si="0"/>
        <v>14688.105425345504</v>
      </c>
      <c r="V8" s="95">
        <f t="shared" si="6"/>
        <v>158102.76679841898</v>
      </c>
      <c r="W8" s="96"/>
      <c r="X8" s="3"/>
      <c r="Y8" s="3"/>
      <c r="Z8" s="3"/>
      <c r="AA8" s="3"/>
    </row>
    <row r="9" spans="1:34" x14ac:dyDescent="0.25">
      <c r="D9">
        <f t="shared" si="7"/>
        <v>0</v>
      </c>
      <c r="E9" s="95">
        <f t="shared" si="1"/>
        <v>0</v>
      </c>
      <c r="F9" s="95"/>
      <c r="G9" s="95" t="e">
        <f t="shared" si="2"/>
        <v>#DIV/0!</v>
      </c>
      <c r="H9" s="95"/>
      <c r="I9" s="85" t="e">
        <f t="shared" si="8"/>
        <v>#DIV/0!</v>
      </c>
      <c r="J9" t="e">
        <f t="shared" si="9"/>
        <v>#DIV/0!</v>
      </c>
      <c r="Q9" s="95"/>
      <c r="R9" s="95"/>
      <c r="S9" s="95"/>
      <c r="T9" s="95" t="e">
        <f>V9/#REF!</f>
        <v>#REF!</v>
      </c>
      <c r="U9" s="95"/>
      <c r="V9" s="95"/>
      <c r="W9" s="3"/>
      <c r="X9" s="3"/>
      <c r="Y9" s="3"/>
      <c r="Z9" s="3"/>
      <c r="AA9" s="3"/>
    </row>
    <row r="10" spans="1:34" ht="16.5" x14ac:dyDescent="0.3">
      <c r="D10">
        <f t="shared" si="7"/>
        <v>0</v>
      </c>
      <c r="E10" s="95">
        <v>0</v>
      </c>
      <c r="F10" s="95"/>
      <c r="G10" s="95" t="e">
        <f t="shared" ref="G10:G14" si="10">ROUND((F10/B10),0)</f>
        <v>#DIV/0!</v>
      </c>
      <c r="H10" s="95"/>
      <c r="I10" t="e">
        <f t="shared" ref="I10:I14" si="11">ROUND((F10/D10),0)</f>
        <v>#DIV/0!</v>
      </c>
      <c r="J10" t="e">
        <f t="shared" si="9"/>
        <v>#DIV/0!</v>
      </c>
      <c r="Q10" s="95"/>
      <c r="R10" s="95" t="e">
        <f>#REF!*1.1</f>
        <v>#REF!</v>
      </c>
      <c r="S10" s="95"/>
      <c r="T10" s="95" t="e">
        <f>V10/#REF!</f>
        <v>#REF!</v>
      </c>
      <c r="U10" s="95"/>
      <c r="V10" s="95"/>
      <c r="W10" s="3"/>
      <c r="X10" s="3"/>
      <c r="Y10" s="97"/>
      <c r="Z10" s="98"/>
      <c r="AA10" s="98"/>
      <c r="AB10" s="29"/>
      <c r="AC10" s="29"/>
      <c r="AD10" s="29"/>
      <c r="AE10" s="29"/>
      <c r="AF10" s="29"/>
    </row>
    <row r="11" spans="1:34" ht="18.75" x14ac:dyDescent="0.25">
      <c r="D11">
        <f t="shared" si="7"/>
        <v>0</v>
      </c>
      <c r="E11">
        <f t="shared" ref="E11:E14" si="12">D11*1.2</f>
        <v>0</v>
      </c>
      <c r="F11" s="95"/>
      <c r="G11" t="e">
        <f t="shared" si="10"/>
        <v>#DIV/0!</v>
      </c>
      <c r="I11" t="e">
        <f t="shared" si="11"/>
        <v>#DIV/0!</v>
      </c>
      <c r="J11" t="e">
        <f t="shared" si="9"/>
        <v>#DIV/0!</v>
      </c>
      <c r="R11" s="95" t="e">
        <f>#REF!*1.1</f>
        <v>#REF!</v>
      </c>
      <c r="S11" s="95"/>
      <c r="U11" s="95"/>
      <c r="V11" s="95"/>
      <c r="W11" s="3"/>
      <c r="X11" s="3"/>
      <c r="Y11" s="99"/>
      <c r="Z11" s="3"/>
      <c r="AA11" s="3"/>
    </row>
    <row r="12" spans="1:34" x14ac:dyDescent="0.25">
      <c r="D12">
        <f t="shared" si="7"/>
        <v>0</v>
      </c>
      <c r="E12">
        <f t="shared" si="12"/>
        <v>0</v>
      </c>
      <c r="F12" s="95"/>
      <c r="G12" t="e">
        <f t="shared" si="10"/>
        <v>#DIV/0!</v>
      </c>
      <c r="I12" t="e">
        <f t="shared" si="11"/>
        <v>#DIV/0!</v>
      </c>
      <c r="J12" t="e">
        <f t="shared" si="9"/>
        <v>#DIV/0!</v>
      </c>
      <c r="K12">
        <f t="shared" ref="K12:K14" si="13">W12</f>
        <v>0</v>
      </c>
      <c r="L12">
        <f t="shared" ref="L12:L14" si="14">X12</f>
        <v>0</v>
      </c>
      <c r="R12" s="95" t="e">
        <f>#REF!*1.1</f>
        <v>#REF!</v>
      </c>
      <c r="S12" s="95"/>
      <c r="U12" s="95"/>
      <c r="V12" s="95"/>
      <c r="W12" s="3"/>
      <c r="X12" s="3"/>
      <c r="Y12" s="3"/>
      <c r="Z12" s="3"/>
      <c r="AA12" s="3"/>
    </row>
    <row r="13" spans="1:34" x14ac:dyDescent="0.25">
      <c r="B13">
        <v>0</v>
      </c>
      <c r="D13">
        <f t="shared" ref="D13:D14" si="15">B13*1.1</f>
        <v>0</v>
      </c>
      <c r="E13">
        <f t="shared" si="12"/>
        <v>0</v>
      </c>
      <c r="F13" s="95"/>
      <c r="G13" t="e">
        <f t="shared" si="10"/>
        <v>#DIV/0!</v>
      </c>
      <c r="I13" t="e">
        <f t="shared" si="11"/>
        <v>#DIV/0!</v>
      </c>
      <c r="J13" t="e">
        <f t="shared" si="9"/>
        <v>#DIV/0!</v>
      </c>
      <c r="K13">
        <f t="shared" si="13"/>
        <v>0</v>
      </c>
      <c r="L13">
        <f t="shared" si="14"/>
        <v>0</v>
      </c>
      <c r="U13" s="95"/>
      <c r="V13" s="95"/>
      <c r="W13" s="3"/>
      <c r="X13" s="3"/>
      <c r="Y13" s="3"/>
      <c r="Z13" s="3"/>
      <c r="AA13" s="3"/>
    </row>
    <row r="14" spans="1:34" x14ac:dyDescent="0.25">
      <c r="B14">
        <v>0</v>
      </c>
      <c r="D14">
        <f t="shared" si="15"/>
        <v>0</v>
      </c>
      <c r="E14">
        <f t="shared" si="12"/>
        <v>0</v>
      </c>
      <c r="F14" s="95"/>
      <c r="G14" t="e">
        <f t="shared" si="10"/>
        <v>#DIV/0!</v>
      </c>
      <c r="I14" t="e">
        <f t="shared" si="11"/>
        <v>#DIV/0!</v>
      </c>
      <c r="J14" t="e">
        <f t="shared" ref="J14" si="16">ROUND((F14/E14),0)</f>
        <v>#DIV/0!</v>
      </c>
      <c r="K14">
        <f t="shared" si="13"/>
        <v>0</v>
      </c>
      <c r="L14">
        <f t="shared" si="14"/>
        <v>0</v>
      </c>
      <c r="U14" s="95"/>
      <c r="V14" s="95"/>
      <c r="W14" s="3"/>
      <c r="X14" s="3"/>
      <c r="Y14" s="3"/>
      <c r="Z14" s="3"/>
      <c r="AA14" s="3"/>
    </row>
    <row r="15" spans="1:34" x14ac:dyDescent="0.25">
      <c r="B15">
        <v>0</v>
      </c>
      <c r="D15">
        <f t="shared" ref="D15" si="17">B15*1.2</f>
        <v>0</v>
      </c>
      <c r="E15">
        <f t="shared" ref="E15:E18" si="18">D15*1.2</f>
        <v>0</v>
      </c>
      <c r="F15" s="95"/>
      <c r="G15" t="e">
        <f t="shared" ref="G15:G18" si="19">ROUND((F15/B15),0)</f>
        <v>#DIV/0!</v>
      </c>
      <c r="I15" t="e">
        <f t="shared" ref="I15:I18" si="20">ROUND((F15/D15),0)</f>
        <v>#DIV/0!</v>
      </c>
      <c r="J15" t="e">
        <f t="shared" ref="J15:J18" si="21">ROUND((F15/E15),0)</f>
        <v>#DIV/0!</v>
      </c>
      <c r="K15">
        <f t="shared" ref="K15:L18" si="22">W15</f>
        <v>0</v>
      </c>
      <c r="L15">
        <f t="shared" si="22"/>
        <v>0</v>
      </c>
      <c r="U15" s="95"/>
      <c r="V15" s="95"/>
      <c r="W15" s="3"/>
      <c r="X15" s="3"/>
      <c r="Y15" s="3"/>
      <c r="Z15" s="3"/>
      <c r="AA15" s="3"/>
    </row>
    <row r="16" spans="1:34" x14ac:dyDescent="0.25">
      <c r="B16">
        <v>0</v>
      </c>
      <c r="D16">
        <f t="shared" ref="D16:D18" si="23">B16*1.2</f>
        <v>0</v>
      </c>
      <c r="E16">
        <f t="shared" si="18"/>
        <v>0</v>
      </c>
      <c r="F16" s="95"/>
      <c r="G16" t="e">
        <f t="shared" si="19"/>
        <v>#DIV/0!</v>
      </c>
      <c r="I16" t="e">
        <f t="shared" si="20"/>
        <v>#DIV/0!</v>
      </c>
      <c r="J16" t="e">
        <f t="shared" si="21"/>
        <v>#DIV/0!</v>
      </c>
      <c r="K16">
        <f t="shared" si="22"/>
        <v>0</v>
      </c>
      <c r="L16">
        <f t="shared" si="22"/>
        <v>0</v>
      </c>
      <c r="U16" s="95"/>
      <c r="V16" s="95"/>
    </row>
    <row r="17" spans="1:27" x14ac:dyDescent="0.25">
      <c r="B17" t="e">
        <f>#REF!</f>
        <v>#REF!</v>
      </c>
      <c r="D17" t="e">
        <f t="shared" si="23"/>
        <v>#REF!</v>
      </c>
      <c r="E17" t="e">
        <f t="shared" si="18"/>
        <v>#REF!</v>
      </c>
      <c r="F17" s="95"/>
      <c r="G17" t="e">
        <f t="shared" si="19"/>
        <v>#REF!</v>
      </c>
      <c r="I17" t="e">
        <f t="shared" si="20"/>
        <v>#REF!</v>
      </c>
      <c r="J17" t="e">
        <f t="shared" si="21"/>
        <v>#REF!</v>
      </c>
      <c r="K17">
        <f t="shared" si="22"/>
        <v>0</v>
      </c>
      <c r="L17">
        <f t="shared" si="22"/>
        <v>0</v>
      </c>
      <c r="U17" s="95"/>
      <c r="V17" s="95"/>
    </row>
    <row r="18" spans="1:27" x14ac:dyDescent="0.25">
      <c r="B18" t="e">
        <f>#REF!</f>
        <v>#REF!</v>
      </c>
      <c r="D18" t="e">
        <f t="shared" si="23"/>
        <v>#REF!</v>
      </c>
      <c r="E18" t="e">
        <f t="shared" si="18"/>
        <v>#REF!</v>
      </c>
      <c r="F18" s="95"/>
      <c r="G18" t="e">
        <f t="shared" si="19"/>
        <v>#REF!</v>
      </c>
      <c r="I18" t="e">
        <f t="shared" si="20"/>
        <v>#REF!</v>
      </c>
      <c r="J18" t="e">
        <f t="shared" si="21"/>
        <v>#REF!</v>
      </c>
      <c r="K18">
        <f t="shared" si="22"/>
        <v>0</v>
      </c>
      <c r="L18">
        <f t="shared" si="22"/>
        <v>0</v>
      </c>
      <c r="U18" s="95"/>
      <c r="V18" s="95"/>
    </row>
    <row r="19" spans="1:27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</row>
    <row r="20" spans="1:27" s="6" customFormat="1" ht="16.5" x14ac:dyDescent="0.3">
      <c r="A20" s="85"/>
      <c r="B20" s="85"/>
      <c r="C20" s="85"/>
      <c r="D20" s="85"/>
      <c r="E20" s="85"/>
      <c r="F20" s="85"/>
      <c r="G20" s="29"/>
      <c r="H20" s="126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</row>
    <row r="21" spans="1:27" s="6" customFormat="1" x14ac:dyDescent="0.25">
      <c r="A21" s="85"/>
      <c r="B21" s="86"/>
      <c r="C21" s="86"/>
      <c r="D21" s="86"/>
      <c r="E21" s="86"/>
      <c r="F21" s="86"/>
      <c r="G21" s="87" t="s">
        <v>61</v>
      </c>
      <c r="H21" s="87"/>
      <c r="I21" s="86"/>
      <c r="J21" s="86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</row>
    <row r="22" spans="1:27" s="6" customFormat="1" ht="16.5" x14ac:dyDescent="0.3">
      <c r="A22" s="85"/>
      <c r="B22" s="86"/>
      <c r="C22" s="86"/>
      <c r="D22" s="86" t="s">
        <v>59</v>
      </c>
      <c r="E22" s="86"/>
      <c r="F22" s="101"/>
      <c r="G22" s="88" t="s">
        <v>60</v>
      </c>
      <c r="H22" s="88"/>
      <c r="I22" s="88">
        <v>394</v>
      </c>
      <c r="J22" s="86"/>
      <c r="K22" s="85">
        <f>I22*9500</f>
        <v>3743000</v>
      </c>
      <c r="L22" s="85"/>
      <c r="M22" s="85"/>
      <c r="N22" s="85"/>
      <c r="O22" s="85"/>
      <c r="P22" s="85"/>
      <c r="Q22" s="85"/>
    </row>
    <row r="23" spans="1:27" s="6" customFormat="1" x14ac:dyDescent="0.25">
      <c r="A23" s="85"/>
      <c r="B23" s="86"/>
      <c r="C23" s="86"/>
      <c r="D23" s="86" t="s">
        <v>1</v>
      </c>
      <c r="E23" s="86">
        <v>7100000</v>
      </c>
      <c r="F23" s="86"/>
      <c r="G23" s="88" t="s">
        <v>56</v>
      </c>
      <c r="H23" s="88"/>
      <c r="I23" s="88">
        <v>0</v>
      </c>
      <c r="J23" s="86"/>
      <c r="K23" s="85"/>
      <c r="L23" s="85"/>
      <c r="M23" s="85"/>
      <c r="N23" s="85"/>
      <c r="O23" s="85"/>
      <c r="P23" s="85"/>
      <c r="Q23" s="85"/>
    </row>
    <row r="24" spans="1:27" s="6" customFormat="1" x14ac:dyDescent="0.25">
      <c r="A24" s="85"/>
      <c r="B24" s="86"/>
      <c r="C24" s="86"/>
      <c r="D24" s="86"/>
      <c r="E24" s="86"/>
      <c r="F24" s="86"/>
      <c r="G24" s="88" t="s">
        <v>62</v>
      </c>
      <c r="H24" s="88"/>
      <c r="I24" s="88">
        <v>0</v>
      </c>
      <c r="J24" s="86"/>
      <c r="K24" s="85"/>
      <c r="L24" s="85"/>
      <c r="M24" s="85"/>
      <c r="N24" s="85"/>
      <c r="O24" s="85"/>
      <c r="P24" s="85"/>
      <c r="Q24" s="85"/>
    </row>
    <row r="25" spans="1:27" s="6" customFormat="1" x14ac:dyDescent="0.25">
      <c r="B25" s="86"/>
      <c r="C25" s="86"/>
      <c r="D25" s="86"/>
      <c r="E25" s="86"/>
      <c r="F25" s="86"/>
      <c r="G25" s="89" t="s">
        <v>63</v>
      </c>
      <c r="H25" s="89"/>
      <c r="I25" s="89">
        <f>I22+I23+I24</f>
        <v>394</v>
      </c>
      <c r="J25" s="86"/>
      <c r="K25" s="85"/>
      <c r="L25" s="85"/>
      <c r="M25" s="85"/>
      <c r="N25" s="85"/>
      <c r="O25" s="85"/>
    </row>
    <row r="26" spans="1:27" s="6" customFormat="1" x14ac:dyDescent="0.25">
      <c r="B26" s="86"/>
      <c r="C26" s="86"/>
      <c r="D26" s="86"/>
      <c r="E26" s="86"/>
      <c r="F26" s="86"/>
      <c r="G26" s="88"/>
      <c r="H26" s="88"/>
      <c r="I26" s="88"/>
      <c r="J26" s="86"/>
      <c r="K26" s="85"/>
      <c r="L26" s="85"/>
      <c r="M26" s="85"/>
      <c r="N26" s="85"/>
      <c r="O26" s="85"/>
    </row>
    <row r="27" spans="1:27" s="6" customFormat="1" x14ac:dyDescent="0.25">
      <c r="B27" s="86"/>
      <c r="C27" s="86"/>
      <c r="D27" s="86"/>
      <c r="E27" s="86"/>
      <c r="F27" s="86"/>
      <c r="G27" s="88" t="s">
        <v>55</v>
      </c>
      <c r="H27" s="88"/>
      <c r="I27" s="88">
        <v>0</v>
      </c>
      <c r="J27" s="86"/>
      <c r="K27" s="85" t="e">
        <f>I33/I27</f>
        <v>#DIV/0!</v>
      </c>
      <c r="L27" s="85"/>
      <c r="M27" s="85"/>
      <c r="N27" s="85"/>
      <c r="O27" s="85"/>
    </row>
    <row r="28" spans="1:27" s="6" customFormat="1" x14ac:dyDescent="0.25">
      <c r="B28" s="86"/>
      <c r="C28" s="86"/>
      <c r="D28" s="86"/>
      <c r="E28" s="86"/>
      <c r="F28" s="86"/>
      <c r="G28" s="88" t="s">
        <v>56</v>
      </c>
      <c r="H28" s="88"/>
      <c r="I28" s="88">
        <v>0</v>
      </c>
      <c r="J28" s="86"/>
      <c r="K28" s="85"/>
      <c r="L28" s="85"/>
      <c r="M28" s="85"/>
      <c r="N28" s="85"/>
      <c r="O28" s="85"/>
    </row>
    <row r="29" spans="1:27" s="6" customFormat="1" x14ac:dyDescent="0.25">
      <c r="B29" s="86"/>
      <c r="C29" s="86"/>
      <c r="D29" s="86"/>
      <c r="E29" s="86"/>
      <c r="F29" s="86"/>
      <c r="G29" s="88" t="s">
        <v>54</v>
      </c>
      <c r="H29" s="88"/>
      <c r="I29" s="88">
        <v>0</v>
      </c>
      <c r="J29" s="86"/>
      <c r="K29" s="85"/>
      <c r="L29" s="85"/>
      <c r="M29" s="85"/>
      <c r="N29" s="85"/>
      <c r="O29" s="85"/>
    </row>
    <row r="30" spans="1:27" s="6" customFormat="1" x14ac:dyDescent="0.25">
      <c r="B30" s="86"/>
      <c r="C30" s="86"/>
      <c r="D30" s="90"/>
      <c r="E30" s="90"/>
      <c r="F30" s="86"/>
      <c r="G30" s="89" t="s">
        <v>57</v>
      </c>
      <c r="H30" s="89"/>
      <c r="I30" s="89">
        <f>SUM(I27:I29)</f>
        <v>0</v>
      </c>
      <c r="J30" s="86"/>
      <c r="K30" s="85" t="e">
        <f>K22/I30</f>
        <v>#DIV/0!</v>
      </c>
      <c r="L30" s="85"/>
      <c r="M30" s="85"/>
      <c r="N30" s="85"/>
      <c r="O30" s="85"/>
      <c r="Q30" s="41"/>
      <c r="R30" s="41"/>
      <c r="S30" s="41"/>
      <c r="T30" s="41"/>
    </row>
    <row r="31" spans="1:27" s="6" customFormat="1" x14ac:dyDescent="0.25">
      <c r="B31" s="86"/>
      <c r="C31" s="86"/>
      <c r="D31" s="90"/>
      <c r="E31" s="90"/>
      <c r="F31" s="86"/>
      <c r="G31" s="89" t="s">
        <v>58</v>
      </c>
      <c r="H31" s="89"/>
      <c r="I31" s="88">
        <f>I30</f>
        <v>0</v>
      </c>
      <c r="J31" s="86" t="e">
        <f>I30/I31</f>
        <v>#DIV/0!</v>
      </c>
      <c r="K31" s="85" t="s">
        <v>40</v>
      </c>
      <c r="L31" s="85"/>
      <c r="M31" s="85"/>
      <c r="N31" s="85"/>
      <c r="O31" s="85"/>
    </row>
    <row r="32" spans="1:27" s="6" customFormat="1" x14ac:dyDescent="0.25">
      <c r="B32" s="86"/>
      <c r="C32" s="86"/>
      <c r="D32" s="90"/>
      <c r="E32" s="90"/>
      <c r="F32" s="86"/>
      <c r="G32" s="88" t="s">
        <v>38</v>
      </c>
      <c r="H32" s="88"/>
      <c r="I32" s="88">
        <v>10000</v>
      </c>
      <c r="J32" s="86"/>
      <c r="K32" s="85"/>
      <c r="L32" s="85"/>
      <c r="M32" s="85"/>
      <c r="N32" s="85"/>
      <c r="O32" s="85"/>
    </row>
    <row r="33" spans="2:23" s="6" customFormat="1" x14ac:dyDescent="0.25">
      <c r="B33" s="86"/>
      <c r="C33" s="86"/>
      <c r="D33" s="90"/>
      <c r="E33" s="90"/>
      <c r="F33" s="86"/>
      <c r="G33" s="89" t="s">
        <v>39</v>
      </c>
      <c r="H33" s="89"/>
      <c r="I33" s="89">
        <f>I25*I32</f>
        <v>3940000</v>
      </c>
      <c r="J33" s="86" t="e">
        <f>I33/E27</f>
        <v>#DIV/0!</v>
      </c>
      <c r="K33" s="85"/>
      <c r="L33" s="85"/>
      <c r="M33" s="85"/>
      <c r="N33" s="85"/>
      <c r="O33" s="85"/>
    </row>
    <row r="34" spans="2:23" s="6" customFormat="1" x14ac:dyDescent="0.25">
      <c r="B34" s="86"/>
      <c r="C34" s="86"/>
      <c r="D34" s="90"/>
      <c r="E34" s="90"/>
      <c r="F34" s="86"/>
      <c r="G34" s="89" t="s">
        <v>17</v>
      </c>
      <c r="H34" s="89"/>
      <c r="I34" s="89">
        <f>I33*90%</f>
        <v>3546000</v>
      </c>
      <c r="J34" s="86"/>
      <c r="K34" s="85"/>
      <c r="L34" s="85"/>
      <c r="M34" s="85"/>
      <c r="N34" s="85"/>
      <c r="O34" s="85"/>
    </row>
    <row r="35" spans="2:23" s="6" customFormat="1" x14ac:dyDescent="0.25">
      <c r="B35" s="86"/>
      <c r="C35" s="86"/>
      <c r="D35" s="90"/>
      <c r="E35" s="90"/>
      <c r="F35" s="86"/>
      <c r="G35" s="89" t="s">
        <v>18</v>
      </c>
      <c r="H35" s="89"/>
      <c r="I35" s="89">
        <f>I33*80%</f>
        <v>3152000</v>
      </c>
      <c r="J35" s="86"/>
      <c r="K35" s="85"/>
      <c r="L35" s="85"/>
      <c r="M35" s="85"/>
      <c r="N35" s="85"/>
      <c r="O35" s="85"/>
    </row>
    <row r="36" spans="2:23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23" x14ac:dyDescent="0.25">
      <c r="B37" s="90"/>
      <c r="C37" s="90"/>
      <c r="D37" s="90"/>
      <c r="E37" s="90"/>
      <c r="F37" s="90"/>
      <c r="G37" s="90"/>
      <c r="H37" s="90"/>
      <c r="I37" s="90"/>
      <c r="J37" s="90"/>
      <c r="P37" s="6"/>
      <c r="Q37" s="6"/>
      <c r="R37" s="6"/>
      <c r="S37" s="6"/>
      <c r="T37" s="6"/>
      <c r="U37" s="6"/>
      <c r="V37" s="6"/>
      <c r="W37" s="6"/>
    </row>
    <row r="38" spans="2:23" x14ac:dyDescent="0.25">
      <c r="B38" s="90"/>
      <c r="C38" s="90"/>
      <c r="D38" s="90"/>
      <c r="E38" s="90"/>
      <c r="F38" s="90"/>
      <c r="G38" s="90"/>
      <c r="H38" s="90"/>
      <c r="I38" s="90"/>
      <c r="J38" s="90"/>
      <c r="P38" s="6"/>
      <c r="Q38" s="6"/>
      <c r="R38" s="6"/>
      <c r="S38" s="6"/>
      <c r="T38" s="6"/>
      <c r="U38" s="6"/>
      <c r="V38" s="6"/>
      <c r="W38" s="6"/>
    </row>
    <row r="39" spans="2:23" x14ac:dyDescent="0.25">
      <c r="B39" s="90"/>
      <c r="C39" s="90"/>
      <c r="D39" s="90"/>
      <c r="E39" s="90"/>
      <c r="F39" s="90"/>
      <c r="G39" s="90"/>
      <c r="H39" s="90"/>
      <c r="I39" s="90"/>
      <c r="J39" s="90"/>
      <c r="P39" s="6"/>
      <c r="Q39" s="6"/>
      <c r="R39" s="6"/>
      <c r="S39" s="6"/>
      <c r="T39" s="6"/>
      <c r="U39" s="6"/>
      <c r="V39" s="6"/>
      <c r="W39" s="6"/>
    </row>
    <row r="40" spans="2:23" x14ac:dyDescent="0.25">
      <c r="B40" s="90"/>
      <c r="C40" s="90"/>
      <c r="D40" s="90"/>
      <c r="E40" s="90"/>
      <c r="F40" s="90"/>
      <c r="G40" s="90"/>
      <c r="H40" s="90"/>
      <c r="I40" s="90"/>
      <c r="J40" s="90"/>
      <c r="P40" s="6"/>
      <c r="Q40" s="6"/>
      <c r="R40" s="6"/>
      <c r="S40" s="6"/>
      <c r="T40" s="6"/>
      <c r="U40" s="6"/>
      <c r="V40" s="6"/>
      <c r="W40" s="6"/>
    </row>
    <row r="41" spans="2:23" x14ac:dyDescent="0.25">
      <c r="B41" s="90"/>
      <c r="C41" s="90"/>
      <c r="D41" s="90"/>
      <c r="E41" s="90"/>
      <c r="F41" s="90"/>
      <c r="G41" s="90"/>
      <c r="H41" s="90"/>
      <c r="I41" s="90"/>
      <c r="J41" s="90"/>
      <c r="P41" s="6"/>
      <c r="Q41" s="6"/>
      <c r="R41" s="6"/>
      <c r="S41" s="6"/>
      <c r="T41" s="6"/>
      <c r="U41" s="6"/>
      <c r="V41" s="6"/>
      <c r="W41" s="6"/>
    </row>
    <row r="42" spans="2:23" x14ac:dyDescent="0.25">
      <c r="B42" s="90"/>
      <c r="C42" s="90"/>
      <c r="D42" s="90"/>
      <c r="E42" s="90"/>
      <c r="F42" s="90"/>
      <c r="G42" s="90"/>
      <c r="H42" s="90"/>
      <c r="I42" s="90"/>
      <c r="J42" s="90"/>
      <c r="P42" s="6"/>
      <c r="Q42" s="41"/>
      <c r="R42" s="41"/>
      <c r="S42" s="41"/>
      <c r="T42" s="41"/>
      <c r="U42" s="6"/>
      <c r="V42" s="6"/>
      <c r="W42" s="6"/>
    </row>
    <row r="43" spans="2:23" x14ac:dyDescent="0.25">
      <c r="B43" s="90"/>
      <c r="C43" s="90"/>
      <c r="D43" s="90"/>
      <c r="E43" s="90"/>
      <c r="F43" s="90"/>
      <c r="G43" s="90"/>
      <c r="H43" s="90"/>
      <c r="I43" s="90"/>
      <c r="J43" s="90"/>
      <c r="P43" s="6"/>
      <c r="Q43" s="6"/>
      <c r="R43" s="6"/>
      <c r="S43" s="6"/>
      <c r="T43" s="6"/>
      <c r="U43" s="6"/>
      <c r="V43" s="6"/>
      <c r="W43" s="6"/>
    </row>
    <row r="44" spans="2:23" x14ac:dyDescent="0.25">
      <c r="B44" s="90"/>
      <c r="C44" s="90"/>
      <c r="D44" s="90"/>
      <c r="E44" s="90"/>
      <c r="F44" s="90"/>
      <c r="G44" s="90"/>
      <c r="H44" s="90"/>
      <c r="I44" s="90"/>
      <c r="J44" s="90"/>
      <c r="P44" s="6"/>
      <c r="Q44" s="6"/>
      <c r="R44" s="6"/>
      <c r="S44" s="6"/>
      <c r="T44" s="6"/>
      <c r="U44" s="6"/>
      <c r="V44" s="6"/>
      <c r="W44" s="6"/>
    </row>
    <row r="45" spans="2:23" x14ac:dyDescent="0.25">
      <c r="P45" s="6"/>
      <c r="Q45" s="6"/>
      <c r="R45" s="6"/>
      <c r="S45" s="6"/>
      <c r="T45" s="6"/>
      <c r="U45" s="6"/>
      <c r="V45" s="6"/>
      <c r="W45" s="6"/>
    </row>
    <row r="48" spans="2:23" x14ac:dyDescent="0.25">
      <c r="P48" s="6"/>
      <c r="Q48" s="6"/>
      <c r="R48" s="6"/>
      <c r="S48" s="6"/>
      <c r="T48" s="6"/>
      <c r="U48" s="6"/>
      <c r="V48" s="6"/>
      <c r="W48" s="6"/>
    </row>
    <row r="49" spans="16:23" x14ac:dyDescent="0.25">
      <c r="P49" s="6"/>
      <c r="Q49" s="6"/>
      <c r="R49" s="6"/>
      <c r="S49" s="6"/>
      <c r="T49" s="6"/>
      <c r="U49" s="6"/>
      <c r="V49" s="6"/>
      <c r="W49" s="6"/>
    </row>
    <row r="50" spans="16:23" x14ac:dyDescent="0.25">
      <c r="P50" s="6"/>
      <c r="Q50" s="6"/>
      <c r="R50" s="6"/>
      <c r="S50" s="6"/>
      <c r="T50" s="6"/>
      <c r="U50" s="6"/>
      <c r="V50" s="6"/>
      <c r="W50" s="6"/>
    </row>
    <row r="51" spans="16:23" x14ac:dyDescent="0.25">
      <c r="P51" s="6"/>
      <c r="Q51" s="6"/>
      <c r="R51" s="6"/>
      <c r="S51" s="6"/>
      <c r="T51" s="6"/>
      <c r="U51" s="6"/>
      <c r="V51" s="6"/>
      <c r="W51" s="6"/>
    </row>
    <row r="52" spans="16:23" x14ac:dyDescent="0.25">
      <c r="P52" s="6"/>
      <c r="Q52" s="41"/>
      <c r="R52" s="41"/>
      <c r="S52" s="41"/>
      <c r="T52" s="41"/>
      <c r="U52" s="6"/>
      <c r="V52" s="6"/>
      <c r="W52" s="6"/>
    </row>
    <row r="53" spans="16:23" x14ac:dyDescent="0.25">
      <c r="P53" s="6"/>
      <c r="Q53" s="6"/>
      <c r="R53" s="6"/>
      <c r="S53" s="6"/>
      <c r="T53" s="6"/>
      <c r="U53" s="6"/>
      <c r="V53" s="6"/>
      <c r="W53" s="6"/>
    </row>
    <row r="54" spans="16:23" x14ac:dyDescent="0.25">
      <c r="P54" s="6"/>
      <c r="Q54" s="6"/>
      <c r="R54" s="6"/>
      <c r="S54" s="6"/>
      <c r="T54" s="6"/>
      <c r="U54" s="6"/>
      <c r="V54" s="6"/>
      <c r="W54" s="6"/>
    </row>
    <row r="55" spans="16:23" x14ac:dyDescent="0.25">
      <c r="P55" s="6"/>
      <c r="Q55" s="6"/>
      <c r="R55" s="6"/>
      <c r="S55" s="6"/>
      <c r="T55" s="6"/>
      <c r="U55" s="6"/>
      <c r="V55" s="6"/>
      <c r="W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3" zoomScale="130" zoomScaleNormal="130" workbookViewId="0">
      <selection activeCell="P23" sqref="P23"/>
    </sheetView>
  </sheetViews>
  <sheetFormatPr defaultRowHeight="15" x14ac:dyDescent="0.25"/>
  <sheetData>
    <row r="117" spans="6:13" x14ac:dyDescent="0.25">
      <c r="F117" s="129" t="s">
        <v>53</v>
      </c>
      <c r="G117" s="129"/>
      <c r="H117" s="129"/>
      <c r="I117" s="129"/>
      <c r="J117" s="129"/>
      <c r="K117" s="129"/>
      <c r="L117" s="129"/>
      <c r="M117" s="12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L10:R199"/>
  <sheetViews>
    <sheetView workbookViewId="0">
      <selection activeCell="O115" sqref="O115"/>
    </sheetView>
  </sheetViews>
  <sheetFormatPr defaultRowHeight="15" x14ac:dyDescent="0.25"/>
  <sheetData>
    <row r="10" spans="17:18" x14ac:dyDescent="0.25">
      <c r="Q10" t="s">
        <v>78</v>
      </c>
      <c r="R10">
        <v>13</v>
      </c>
    </row>
    <row r="31" spans="13:14" x14ac:dyDescent="0.25">
      <c r="M31" t="s">
        <v>78</v>
      </c>
      <c r="N31">
        <v>10</v>
      </c>
    </row>
    <row r="83" spans="12:13" x14ac:dyDescent="0.25">
      <c r="L83" t="s">
        <v>78</v>
      </c>
      <c r="M83">
        <v>6</v>
      </c>
    </row>
    <row r="114" spans="12:13" x14ac:dyDescent="0.25">
      <c r="L114" t="s">
        <v>78</v>
      </c>
      <c r="M114">
        <v>4</v>
      </c>
    </row>
    <row r="165" spans="14:15" x14ac:dyDescent="0.25">
      <c r="N165" t="s">
        <v>78</v>
      </c>
      <c r="O165">
        <v>5</v>
      </c>
    </row>
    <row r="199" spans="15:16" x14ac:dyDescent="0.25">
      <c r="O199" t="s">
        <v>78</v>
      </c>
      <c r="P199" s="42">
        <v>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77" workbookViewId="0">
      <selection activeCell="R378" sqref="R37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2025-01-08T05:36:38Z</dcterms:modified>
</cp:coreProperties>
</file>