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D:\Report Making Cases\Lebo Metals, Daman\"/>
    </mc:Choice>
  </mc:AlternateContent>
  <xr:revisionPtr revIDLastSave="0" documentId="13_ncr:1_{5E281768-3450-47A1-ADF8-1EAF745A7A21}" xr6:coauthVersionLast="45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Leebo Metals" sheetId="2" r:id="rId1"/>
    <sheet name="Final" sheetId="5" r:id="rId2"/>
    <sheet name="Sheet1" sheetId="3" r:id="rId3"/>
    <sheet name="Location" sheetId="4" r:id="rId4"/>
    <sheet name="Sheet2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" i="5" l="1"/>
  <c r="M3" i="5" s="1"/>
  <c r="R84" i="5"/>
  <c r="E20" i="5"/>
  <c r="E23" i="5"/>
  <c r="E22" i="5"/>
  <c r="I4" i="5" l="1"/>
  <c r="M4" i="5" s="1"/>
  <c r="M64" i="5"/>
  <c r="F66" i="5" l="1"/>
  <c r="F61" i="5"/>
  <c r="E65" i="5"/>
  <c r="E64" i="5"/>
  <c r="E66" i="5"/>
  <c r="E63" i="5"/>
  <c r="E62" i="5"/>
  <c r="E61" i="5"/>
  <c r="D65" i="5"/>
  <c r="F65" i="5" s="1"/>
  <c r="D64" i="5"/>
  <c r="F64" i="5" s="1"/>
  <c r="D66" i="5"/>
  <c r="D63" i="5"/>
  <c r="F63" i="5" s="1"/>
  <c r="D62" i="5"/>
  <c r="F62" i="5" s="1"/>
  <c r="D61" i="5"/>
  <c r="G17" i="6"/>
  <c r="G18" i="6" s="1"/>
  <c r="G16" i="6"/>
  <c r="H16" i="6" s="1"/>
  <c r="H15" i="6"/>
  <c r="H3" i="6"/>
  <c r="M91" i="5"/>
  <c r="Q91" i="5"/>
  <c r="Q93" i="5" s="1"/>
  <c r="U79" i="5"/>
  <c r="U80" i="5"/>
  <c r="S79" i="5"/>
  <c r="K86" i="5"/>
  <c r="K87" i="5" s="1"/>
  <c r="R82" i="5"/>
  <c r="R81" i="5"/>
  <c r="S81" i="5"/>
  <c r="F67" i="5" l="1"/>
  <c r="D67" i="5"/>
  <c r="H18" i="6"/>
  <c r="G19" i="6"/>
  <c r="H17" i="6"/>
  <c r="N88" i="2"/>
  <c r="G20" i="6" l="1"/>
  <c r="H19" i="6"/>
  <c r="L63" i="5"/>
  <c r="L62" i="5"/>
  <c r="H16" i="5"/>
  <c r="I16" i="5" s="1"/>
  <c r="J16" i="5" s="1"/>
  <c r="K16" i="5" s="1"/>
  <c r="H15" i="5"/>
  <c r="I15" i="5" s="1"/>
  <c r="J15" i="5" s="1"/>
  <c r="K15" i="5" s="1"/>
  <c r="L15" i="5" s="1"/>
  <c r="H14" i="5"/>
  <c r="I14" i="5" s="1"/>
  <c r="J14" i="5" s="1"/>
  <c r="K14" i="5" s="1"/>
  <c r="M13" i="5"/>
  <c r="I13" i="5"/>
  <c r="J13" i="5" s="1"/>
  <c r="K13" i="5" s="1"/>
  <c r="L13" i="5" s="1"/>
  <c r="H13" i="5"/>
  <c r="N13" i="5" s="1"/>
  <c r="M12" i="5"/>
  <c r="H12" i="5"/>
  <c r="I12" i="5" s="1"/>
  <c r="J12" i="5" s="1"/>
  <c r="K12" i="5" s="1"/>
  <c r="L12" i="5" s="1"/>
  <c r="M11" i="5"/>
  <c r="H11" i="5"/>
  <c r="I11" i="5" s="1"/>
  <c r="J11" i="5" s="1"/>
  <c r="K11" i="5" s="1"/>
  <c r="L11" i="5" s="1"/>
  <c r="F81" i="5"/>
  <c r="L73" i="5"/>
  <c r="L74" i="5" s="1"/>
  <c r="C67" i="5"/>
  <c r="E67" i="5" s="1"/>
  <c r="D45" i="5"/>
  <c r="C41" i="5"/>
  <c r="C42" i="5" s="1"/>
  <c r="C43" i="5" s="1"/>
  <c r="C34" i="5"/>
  <c r="C23" i="5"/>
  <c r="C33" i="5" s="1"/>
  <c r="D33" i="5" s="1"/>
  <c r="D35" i="5" s="1"/>
  <c r="C16" i="5"/>
  <c r="M16" i="5" s="1"/>
  <c r="C15" i="5"/>
  <c r="M15" i="5" s="1"/>
  <c r="C14" i="5"/>
  <c r="M14" i="5" s="1"/>
  <c r="M10" i="5"/>
  <c r="H10" i="5"/>
  <c r="I10" i="5" s="1"/>
  <c r="J10" i="5" s="1"/>
  <c r="K10" i="5" s="1"/>
  <c r="M9" i="5"/>
  <c r="J9" i="5"/>
  <c r="K9" i="5" s="1"/>
  <c r="L9" i="5" s="1"/>
  <c r="D4" i="5"/>
  <c r="C4" i="5"/>
  <c r="C31" i="5" s="1"/>
  <c r="D2" i="5"/>
  <c r="F82" i="2"/>
  <c r="C68" i="2"/>
  <c r="C69" i="2" s="1"/>
  <c r="N11" i="5" l="1"/>
  <c r="L64" i="5"/>
  <c r="N12" i="5"/>
  <c r="N16" i="5"/>
  <c r="N15" i="5"/>
  <c r="C17" i="5"/>
  <c r="L14" i="5"/>
  <c r="L16" i="5"/>
  <c r="N10" i="5"/>
  <c r="N14" i="5"/>
  <c r="H20" i="6"/>
  <c r="G21" i="6"/>
  <c r="M17" i="5"/>
  <c r="D36" i="5"/>
  <c r="D40" i="5"/>
  <c r="L10" i="5"/>
  <c r="K17" i="5"/>
  <c r="L74" i="2"/>
  <c r="L75" i="2" s="1"/>
  <c r="G22" i="6" l="1"/>
  <c r="H21" i="6"/>
  <c r="L17" i="5"/>
  <c r="C32" i="5" s="1"/>
  <c r="D2" i="2"/>
  <c r="X14" i="3"/>
  <c r="L15" i="3"/>
  <c r="H11" i="2"/>
  <c r="I11" i="2" s="1"/>
  <c r="J11" i="2" s="1"/>
  <c r="K11" i="2" s="1"/>
  <c r="M11" i="2"/>
  <c r="H17" i="2"/>
  <c r="I17" i="2" s="1"/>
  <c r="J17" i="2" s="1"/>
  <c r="K17" i="2" s="1"/>
  <c r="H16" i="2"/>
  <c r="I16" i="2" s="1"/>
  <c r="J16" i="2" s="1"/>
  <c r="K16" i="2" s="1"/>
  <c r="H15" i="2"/>
  <c r="I15" i="2" s="1"/>
  <c r="J15" i="2" s="1"/>
  <c r="K15" i="2" s="1"/>
  <c r="H14" i="2"/>
  <c r="I14" i="2" s="1"/>
  <c r="J14" i="2" s="1"/>
  <c r="K14" i="2" s="1"/>
  <c r="H13" i="2"/>
  <c r="I13" i="2" s="1"/>
  <c r="J13" i="2" s="1"/>
  <c r="K13" i="2" s="1"/>
  <c r="C17" i="2"/>
  <c r="M17" i="2" s="1"/>
  <c r="C16" i="2"/>
  <c r="M16" i="2" s="1"/>
  <c r="C15" i="2"/>
  <c r="M15" i="2" s="1"/>
  <c r="C14" i="2"/>
  <c r="M14" i="2" s="1"/>
  <c r="C13" i="2"/>
  <c r="M13" i="2" s="1"/>
  <c r="H22" i="6" l="1"/>
  <c r="G23" i="6"/>
  <c r="C44" i="5"/>
  <c r="C45" i="5"/>
  <c r="C35" i="5"/>
  <c r="C40" i="5" s="1"/>
  <c r="L15" i="2"/>
  <c r="L13" i="2"/>
  <c r="L14" i="2"/>
  <c r="L17" i="2"/>
  <c r="L11" i="2"/>
  <c r="L16" i="2"/>
  <c r="C18" i="2"/>
  <c r="G24" i="6" l="1"/>
  <c r="H24" i="6" s="1"/>
  <c r="H23" i="6"/>
  <c r="C36" i="5"/>
  <c r="C37" i="5"/>
  <c r="C38" i="5" s="1"/>
  <c r="C39" i="5" s="1"/>
  <c r="H12" i="2"/>
  <c r="I12" i="2" s="1"/>
  <c r="J12" i="2" s="1"/>
  <c r="K12" i="2" s="1"/>
  <c r="L12" i="2" s="1"/>
  <c r="H10" i="2"/>
  <c r="D46" i="2"/>
  <c r="C42" i="2"/>
  <c r="C43" i="2" s="1"/>
  <c r="C44" i="2" s="1"/>
  <c r="C35" i="2"/>
  <c r="C24" i="2"/>
  <c r="C34" i="2" s="1"/>
  <c r="D34" i="2" s="1"/>
  <c r="M12" i="2"/>
  <c r="M10" i="2"/>
  <c r="I10" i="2"/>
  <c r="J10" i="2" s="1"/>
  <c r="K10" i="2" s="1"/>
  <c r="L10" i="2" s="1"/>
  <c r="M9" i="2"/>
  <c r="J9" i="2"/>
  <c r="K9" i="2" s="1"/>
  <c r="D4" i="2"/>
  <c r="C4" i="2"/>
  <c r="C32" i="2" s="1"/>
  <c r="D36" i="2" l="1"/>
  <c r="M18" i="2"/>
  <c r="K18" i="2"/>
  <c r="L9" i="2"/>
  <c r="L18" i="2" s="1"/>
  <c r="C33" i="2" s="1"/>
  <c r="C36" i="2" l="1"/>
  <c r="C37" i="2" s="1"/>
  <c r="C45" i="2"/>
  <c r="C46" i="2"/>
  <c r="D37" i="2"/>
  <c r="D41" i="2"/>
  <c r="C41" i="2" l="1"/>
  <c r="C38" i="2"/>
  <c r="C39" i="2" s="1"/>
  <c r="C40" i="2" s="1"/>
</calcChain>
</file>

<file path=xl/sharedStrings.xml><?xml version="1.0" encoding="utf-8"?>
<sst xmlns="http://schemas.openxmlformats.org/spreadsheetml/2006/main" count="149" uniqueCount="76">
  <si>
    <t>Land Value</t>
  </si>
  <si>
    <t>Land Area</t>
  </si>
  <si>
    <t>Rate</t>
  </si>
  <si>
    <t xml:space="preserve"> Value</t>
  </si>
  <si>
    <t>Structure Value</t>
  </si>
  <si>
    <t>Items</t>
  </si>
  <si>
    <t xml:space="preserve"> Area In             Sq.M.</t>
  </si>
  <si>
    <t>Year Of Const.</t>
  </si>
  <si>
    <t>Valuation Year</t>
  </si>
  <si>
    <t>Total Life of Structure</t>
  </si>
  <si>
    <t>Full Rate</t>
  </si>
  <si>
    <t>Age Of Build.</t>
  </si>
  <si>
    <t>% of the depreciation rate to be deducted</t>
  </si>
  <si>
    <t>% Value</t>
  </si>
  <si>
    <t>Final Depreciated Rate to be considered</t>
  </si>
  <si>
    <t>Final Depreciated Value to be considered</t>
  </si>
  <si>
    <t>Insurance Value / Full Value</t>
  </si>
  <si>
    <t>Admin Building</t>
  </si>
  <si>
    <t>Interior and other Development</t>
  </si>
  <si>
    <t>Built up area</t>
  </si>
  <si>
    <t>Value</t>
  </si>
  <si>
    <t>Land Development Value</t>
  </si>
  <si>
    <t>land area</t>
  </si>
  <si>
    <t>Normal Case</t>
  </si>
  <si>
    <t>Previous Report</t>
  </si>
  <si>
    <t>Land Development</t>
  </si>
  <si>
    <t>Total Value</t>
  </si>
  <si>
    <t>Realisable Value</t>
  </si>
  <si>
    <t>Distress Value</t>
  </si>
  <si>
    <t>Insurance Value</t>
  </si>
  <si>
    <t>Government Value</t>
  </si>
  <si>
    <t xml:space="preserve">Main Factory  </t>
  </si>
  <si>
    <t>Ground Floor</t>
  </si>
  <si>
    <t>Mezzanine Floor</t>
  </si>
  <si>
    <t>First Floor</t>
  </si>
  <si>
    <t>Lean To shed 4 Sides</t>
  </si>
  <si>
    <t xml:space="preserve">Security Cabin </t>
  </si>
  <si>
    <t>Toilet Block</t>
  </si>
  <si>
    <t>Ground Floor Double Height</t>
  </si>
  <si>
    <t>Sq.M</t>
  </si>
  <si>
    <t>Sq.Ft</t>
  </si>
  <si>
    <t>per sq.M</t>
  </si>
  <si>
    <t>Interior Cost</t>
  </si>
  <si>
    <t>Building No.1</t>
  </si>
  <si>
    <t>Building No.2</t>
  </si>
  <si>
    <t>Plot no. 8</t>
  </si>
  <si>
    <t>Plot No. 9</t>
  </si>
  <si>
    <t>As per guideline, every year circle rate is increase by 6% for industrial land.</t>
  </si>
  <si>
    <t>S. No.</t>
  </si>
  <si>
    <t>Date</t>
  </si>
  <si>
    <t>Rate / 100 Sq. M.</t>
  </si>
  <si>
    <t>Rate / Sq. M.</t>
  </si>
  <si>
    <t>16.04.2015</t>
  </si>
  <si>
    <t>01.04.2016</t>
  </si>
  <si>
    <t>01.04.2017</t>
  </si>
  <si>
    <t>01.04.2018</t>
  </si>
  <si>
    <t>01.04.2019</t>
  </si>
  <si>
    <t>01.04.2020</t>
  </si>
  <si>
    <t>01.04.2021</t>
  </si>
  <si>
    <t>01.04.2022</t>
  </si>
  <si>
    <t>01.04.2023</t>
  </si>
  <si>
    <t>01.04.2024</t>
  </si>
  <si>
    <t>Sr. No.</t>
  </si>
  <si>
    <t>Dated</t>
  </si>
  <si>
    <t>Ground Floor below Mezzanine</t>
  </si>
  <si>
    <t>Ground Floor double heighted</t>
  </si>
  <si>
    <t>Mezzanie floor</t>
  </si>
  <si>
    <t>Lean to Shed</t>
  </si>
  <si>
    <t>Carpet area</t>
  </si>
  <si>
    <t>Sq. FT.</t>
  </si>
  <si>
    <t>Sq. m.</t>
  </si>
  <si>
    <t>Previous valuation report</t>
  </si>
  <si>
    <t>Single heignt</t>
  </si>
  <si>
    <t>Double height</t>
  </si>
  <si>
    <t>Approved plan</t>
  </si>
  <si>
    <t>Measurment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</si>
</sst>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0"/>
      <color theme="1"/>
      <name val="Arial Narrow"/>
      <family val="2"/>
    </font>
    <font>
      <b/>
      <sz val="11"/>
      <name val="Calibri"/>
      <family val="2"/>
    </font>
    <font>
      <b/>
      <u/>
      <sz val="12"/>
      <color theme="1"/>
      <name val="Calibri"/>
      <family val="2"/>
      <scheme val="minor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sz val="11"/>
      <color rgb="FFFF0000"/>
      <name val="Arial Narrow"/>
      <family val="2"/>
    </font>
    <font>
      <b/>
      <sz val="11"/>
      <color theme="0"/>
      <name val="Arial Narrow"/>
      <family val="2"/>
    </font>
    <font>
      <b/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7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2" fillId="0" borderId="0" xfId="0" applyFont="1"/>
    <xf numFmtId="0" fontId="4" fillId="0" borderId="0" xfId="0" applyFont="1"/>
    <xf numFmtId="0" fontId="2" fillId="0" borderId="1" xfId="0" applyFont="1" applyBorder="1" applyAlignment="1">
      <alignment horizontal="center" wrapText="1"/>
    </xf>
    <xf numFmtId="43" fontId="2" fillId="0" borderId="1" xfId="1" applyFont="1" applyBorder="1"/>
    <xf numFmtId="0" fontId="5" fillId="0" borderId="2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4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" fontId="6" fillId="0" borderId="1" xfId="0" applyNumberFormat="1" applyFont="1" applyBorder="1" applyAlignment="1">
      <alignment vertical="top"/>
    </xf>
    <xf numFmtId="0" fontId="6" fillId="0" borderId="2" xfId="0" applyFont="1" applyBorder="1"/>
    <xf numFmtId="0" fontId="6" fillId="0" borderId="1" xfId="0" applyFont="1" applyBorder="1"/>
    <xf numFmtId="4" fontId="4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horizontal="center" wrapText="1"/>
    </xf>
    <xf numFmtId="4" fontId="7" fillId="0" borderId="1" xfId="0" applyNumberFormat="1" applyFont="1" applyBorder="1"/>
    <xf numFmtId="43" fontId="7" fillId="0" borderId="1" xfId="1" applyFont="1" applyBorder="1"/>
    <xf numFmtId="0" fontId="6" fillId="0" borderId="0" xfId="0" applyFont="1"/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43" fontId="7" fillId="0" borderId="0" xfId="1" applyFont="1"/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right" vertical="center" wrapText="1"/>
    </xf>
    <xf numFmtId="4" fontId="11" fillId="0" borderId="1" xfId="0" applyNumberFormat="1" applyFont="1" applyBorder="1" applyAlignment="1">
      <alignment horizontal="right" wrapText="1"/>
    </xf>
    <xf numFmtId="0" fontId="7" fillId="0" borderId="1" xfId="0" applyFont="1" applyBorder="1" applyAlignment="1">
      <alignment vertical="top"/>
    </xf>
    <xf numFmtId="4" fontId="7" fillId="0" borderId="1" xfId="0" applyNumberFormat="1" applyFont="1" applyBorder="1" applyAlignment="1">
      <alignment vertical="top"/>
    </xf>
    <xf numFmtId="0" fontId="12" fillId="0" borderId="1" xfId="0" applyFont="1" applyBorder="1"/>
    <xf numFmtId="0" fontId="11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2" fillId="0" borderId="1" xfId="0" applyFont="1" applyBorder="1" applyAlignment="1">
      <alignment vertical="top" wrapText="1"/>
    </xf>
    <xf numFmtId="4" fontId="6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2" fillId="0" borderId="0" xfId="0" applyFont="1" applyAlignment="1">
      <alignment vertical="top" wrapText="1"/>
    </xf>
    <xf numFmtId="4" fontId="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6" fillId="0" borderId="0" xfId="0" applyFont="1" applyAlignment="1">
      <alignment vertical="top"/>
    </xf>
    <xf numFmtId="4" fontId="2" fillId="0" borderId="0" xfId="0" applyNumberFormat="1" applyFont="1" applyAlignment="1">
      <alignment vertical="top"/>
    </xf>
    <xf numFmtId="4" fontId="6" fillId="0" borderId="0" xfId="0" applyNumberFormat="1" applyFont="1" applyAlignment="1">
      <alignment vertical="top"/>
    </xf>
    <xf numFmtId="4" fontId="6" fillId="0" borderId="1" xfId="0" applyNumberFormat="1" applyFont="1" applyBorder="1"/>
    <xf numFmtId="0" fontId="2" fillId="0" borderId="1" xfId="0" applyFont="1" applyBorder="1" applyAlignment="1">
      <alignment horizontal="center"/>
    </xf>
    <xf numFmtId="4" fontId="4" fillId="0" borderId="1" xfId="0" applyNumberFormat="1" applyFont="1" applyBorder="1"/>
    <xf numFmtId="0" fontId="5" fillId="0" borderId="0" xfId="0" applyFont="1" applyAlignment="1">
      <alignment horizontal="center" vertical="top" wrapText="1" shrinkToFit="1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 vertical="top"/>
    </xf>
    <xf numFmtId="0" fontId="13" fillId="0" borderId="0" xfId="0" applyFont="1"/>
    <xf numFmtId="4" fontId="4" fillId="0" borderId="5" xfId="0" applyNumberFormat="1" applyFont="1" applyBorder="1" applyAlignment="1">
      <alignment vertical="top"/>
    </xf>
    <xf numFmtId="0" fontId="14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7" fillId="0" borderId="0" xfId="0" applyFont="1"/>
    <xf numFmtId="4" fontId="6" fillId="0" borderId="0" xfId="0" applyNumberFormat="1" applyFont="1"/>
    <xf numFmtId="0" fontId="2" fillId="0" borderId="0" xfId="0" applyFont="1" applyAlignment="1">
      <alignment wrapText="1"/>
    </xf>
    <xf numFmtId="4" fontId="4" fillId="0" borderId="0" xfId="0" applyNumberFormat="1" applyFont="1"/>
    <xf numFmtId="4" fontId="13" fillId="0" borderId="0" xfId="0" applyNumberFormat="1" applyFont="1"/>
    <xf numFmtId="4" fontId="2" fillId="0" borderId="0" xfId="0" applyNumberFormat="1" applyFont="1"/>
    <xf numFmtId="2" fontId="4" fillId="0" borderId="0" xfId="0" applyNumberFormat="1" applyFont="1"/>
    <xf numFmtId="0" fontId="4" fillId="0" borderId="0" xfId="0" applyFont="1" applyAlignment="1">
      <alignment wrapText="1"/>
    </xf>
    <xf numFmtId="2" fontId="6" fillId="0" borderId="0" xfId="0" applyNumberFormat="1" applyFont="1"/>
    <xf numFmtId="0" fontId="13" fillId="0" borderId="0" xfId="0" applyFont="1" applyAlignment="1">
      <alignment wrapText="1"/>
    </xf>
    <xf numFmtId="0" fontId="2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right" vertical="top" wrapText="1"/>
    </xf>
    <xf numFmtId="0" fontId="2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43" fontId="2" fillId="0" borderId="1" xfId="0" applyNumberFormat="1" applyFont="1" applyBorder="1"/>
    <xf numFmtId="2" fontId="2" fillId="0" borderId="1" xfId="0" applyNumberFormat="1" applyFont="1" applyBorder="1" applyAlignment="1">
      <alignment horizontal="right" vertical="top" wrapText="1"/>
    </xf>
    <xf numFmtId="2" fontId="11" fillId="0" borderId="1" xfId="0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6" fillId="0" borderId="1" xfId="0" applyFont="1" applyBorder="1" applyAlignment="1">
      <alignment vertical="top"/>
    </xf>
    <xf numFmtId="0" fontId="7" fillId="2" borderId="0" xfId="0" applyFont="1" applyFill="1" applyAlignment="1">
      <alignment horizontal="center" vertical="top"/>
    </xf>
    <xf numFmtId="4" fontId="6" fillId="2" borderId="0" xfId="0" applyNumberFormat="1" applyFont="1" applyFill="1"/>
    <xf numFmtId="4" fontId="7" fillId="2" borderId="0" xfId="0" applyNumberFormat="1" applyFont="1" applyFill="1"/>
    <xf numFmtId="2" fontId="6" fillId="2" borderId="0" xfId="0" applyNumberFormat="1" applyFont="1" applyFill="1"/>
    <xf numFmtId="43" fontId="6" fillId="2" borderId="0" xfId="1" applyFont="1" applyFill="1"/>
    <xf numFmtId="0" fontId="4" fillId="2" borderId="0" xfId="0" applyFont="1" applyFill="1"/>
    <xf numFmtId="0" fontId="10" fillId="0" borderId="6" xfId="0" applyFont="1" applyBorder="1"/>
    <xf numFmtId="2" fontId="2" fillId="0" borderId="6" xfId="0" applyNumberFormat="1" applyFont="1" applyBorder="1" applyAlignment="1">
      <alignment horizontal="right" vertical="center" wrapText="1"/>
    </xf>
    <xf numFmtId="0" fontId="2" fillId="0" borderId="7" xfId="0" applyFont="1" applyBorder="1" applyAlignment="1">
      <alignment vertical="top" wrapText="1"/>
    </xf>
    <xf numFmtId="2" fontId="15" fillId="0" borderId="7" xfId="0" applyNumberFormat="1" applyFont="1" applyBorder="1" applyAlignment="1">
      <alignment horizontal="right" wrapText="1"/>
    </xf>
    <xf numFmtId="0" fontId="8" fillId="0" borderId="1" xfId="0" applyFont="1" applyBorder="1" applyAlignment="1">
      <alignment horizontal="center"/>
    </xf>
    <xf numFmtId="3" fontId="6" fillId="0" borderId="0" xfId="0" applyNumberFormat="1" applyFont="1"/>
    <xf numFmtId="3" fontId="7" fillId="0" borderId="0" xfId="0" applyNumberFormat="1" applyFont="1"/>
    <xf numFmtId="0" fontId="11" fillId="0" borderId="8" xfId="0" applyFont="1" applyBorder="1" applyAlignment="1">
      <alignment horizontal="center" vertical="center"/>
    </xf>
    <xf numFmtId="43" fontId="2" fillId="0" borderId="1" xfId="1" applyFont="1" applyBorder="1" applyAlignment="1">
      <alignment horizontal="right" vertical="top" wrapText="1"/>
    </xf>
    <xf numFmtId="43" fontId="11" fillId="0" borderId="1" xfId="1" applyFont="1" applyBorder="1" applyAlignment="1">
      <alignment horizontal="right" wrapText="1"/>
    </xf>
    <xf numFmtId="3" fontId="7" fillId="0" borderId="1" xfId="0" applyNumberFormat="1" applyFont="1" applyBorder="1"/>
    <xf numFmtId="0" fontId="11" fillId="0" borderId="11" xfId="0" applyFont="1" applyBorder="1" applyAlignment="1">
      <alignment horizontal="right" vertical="center" wrapText="1"/>
    </xf>
    <xf numFmtId="4" fontId="11" fillId="0" borderId="1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15" fillId="0" borderId="9" xfId="0" applyFont="1" applyBorder="1" applyAlignment="1">
      <alignment horizontal="center" vertical="top" wrapText="1"/>
    </xf>
    <xf numFmtId="0" fontId="15" fillId="0" borderId="10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4" fontId="11" fillId="0" borderId="8" xfId="0" applyNumberFormat="1" applyFont="1" applyBorder="1" applyAlignment="1">
      <alignment horizontal="right" vertical="top" wrapText="1"/>
    </xf>
    <xf numFmtId="4" fontId="15" fillId="0" borderId="8" xfId="0" applyNumberFormat="1" applyFont="1" applyBorder="1" applyAlignment="1">
      <alignment horizontal="right" vertical="top" wrapText="1"/>
    </xf>
    <xf numFmtId="0" fontId="16" fillId="0" borderId="1" xfId="0" applyFont="1" applyBorder="1" applyAlignment="1">
      <alignment horizontal="center" vertical="top"/>
    </xf>
    <xf numFmtId="43" fontId="16" fillId="0" borderId="1" xfId="1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43" fontId="0" fillId="0" borderId="1" xfId="1" applyFont="1" applyBorder="1" applyAlignment="1">
      <alignment horizontal="center" vertical="top"/>
    </xf>
    <xf numFmtId="0" fontId="2" fillId="0" borderId="0" xfId="0" applyFont="1" applyBorder="1"/>
    <xf numFmtId="43" fontId="11" fillId="0" borderId="0" xfId="1" applyFont="1" applyBorder="1" applyAlignment="1">
      <alignment horizontal="right" vertical="center"/>
    </xf>
    <xf numFmtId="43" fontId="2" fillId="0" borderId="0" xfId="1" applyFont="1" applyBorder="1" applyAlignment="1">
      <alignment horizontal="right"/>
    </xf>
    <xf numFmtId="43" fontId="2" fillId="0" borderId="0" xfId="0" applyNumberFormat="1" applyFont="1" applyBorder="1"/>
    <xf numFmtId="43" fontId="4" fillId="0" borderId="0" xfId="0" applyNumberFormat="1" applyFont="1" applyBorder="1"/>
    <xf numFmtId="43" fontId="2" fillId="0" borderId="0" xfId="0" applyNumberFormat="1" applyFont="1" applyBorder="1" applyAlignment="1">
      <alignment horizontal="right" vertical="top" wrapText="1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2" fontId="2" fillId="0" borderId="0" xfId="0" applyNumberFormat="1" applyFont="1"/>
    <xf numFmtId="43" fontId="11" fillId="0" borderId="0" xfId="1" applyFont="1"/>
    <xf numFmtId="43" fontId="11" fillId="0" borderId="0" xfId="1" applyFont="1" applyAlignment="1">
      <alignment horizontal="right" vertical="center"/>
    </xf>
    <xf numFmtId="43" fontId="15" fillId="0" borderId="7" xfId="1" applyFont="1" applyBorder="1" applyAlignment="1">
      <alignment horizontal="righ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900794</xdr:colOff>
      <xdr:row>20</xdr:row>
      <xdr:rowOff>47625</xdr:rowOff>
    </xdr:from>
    <xdr:to>
      <xdr:col>21</xdr:col>
      <xdr:colOff>274275</xdr:colOff>
      <xdr:row>63</xdr:row>
      <xdr:rowOff>40538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40C71D-63FF-ABE7-A972-B3C9D148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0169" y="5000625"/>
          <a:ext cx="5517106" cy="7898663"/>
        </a:xfrm>
        <a:prstGeom prst="rect">
          <a:avLst/>
        </a:prstGeom>
      </xdr:spPr>
    </xdr:pic>
    <xdr:clientData/>
  </xdr:twoCellAnchor>
  <xdr:twoCellAnchor editAs="oneCell">
    <xdr:from>
      <xdr:col>13</xdr:col>
      <xdr:colOff>322491</xdr:colOff>
      <xdr:row>0</xdr:row>
      <xdr:rowOff>0</xdr:rowOff>
    </xdr:from>
    <xdr:to>
      <xdr:col>20</xdr:col>
      <xdr:colOff>520456</xdr:colOff>
      <xdr:row>6</xdr:row>
      <xdr:rowOff>190697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06655E3-82CA-1112-0B55-9497B153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5391" y="0"/>
          <a:ext cx="4741390" cy="1447997"/>
        </a:xfrm>
        <a:prstGeom prst="rect">
          <a:avLst/>
        </a:prstGeom>
      </xdr:spPr>
    </xdr:pic>
    <xdr:clientData/>
  </xdr:twoCellAnchor>
  <xdr:twoCellAnchor editAs="oneCell">
    <xdr:from>
      <xdr:col>13</xdr:col>
      <xdr:colOff>453117</xdr:colOff>
      <xdr:row>6</xdr:row>
      <xdr:rowOff>247650</xdr:rowOff>
    </xdr:from>
    <xdr:to>
      <xdr:col>20</xdr:col>
      <xdr:colOff>498661</xdr:colOff>
      <xdr:row>18</xdr:row>
      <xdr:rowOff>133754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8BB964-7BBD-D132-E201-ADAD9AF10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26017" y="1504950"/>
          <a:ext cx="4588969" cy="2953154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19</xdr:row>
      <xdr:rowOff>171450</xdr:rowOff>
    </xdr:from>
    <xdr:to>
      <xdr:col>12</xdr:col>
      <xdr:colOff>324488</xdr:colOff>
      <xdr:row>22</xdr:row>
      <xdr:rowOff>85801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B0489B-FAEA-3CDA-6665-4EC40C8E0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91225" y="4914900"/>
          <a:ext cx="4572638" cy="543001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23</xdr:row>
      <xdr:rowOff>47625</xdr:rowOff>
    </xdr:from>
    <xdr:to>
      <xdr:col>12</xdr:col>
      <xdr:colOff>238125</xdr:colOff>
      <xdr:row>29</xdr:row>
      <xdr:rowOff>47811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8A42ADC-BC76-82D3-4448-DB099494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81700" y="5629275"/>
          <a:ext cx="4495800" cy="1333686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29</xdr:row>
      <xdr:rowOff>161925</xdr:rowOff>
    </xdr:from>
    <xdr:to>
      <xdr:col>12</xdr:col>
      <xdr:colOff>142875</xdr:colOff>
      <xdr:row>59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4EC9E-1737-47E8-822D-4D9508CA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81700" y="7077075"/>
          <a:ext cx="4400550" cy="495300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28</xdr:row>
      <xdr:rowOff>161925</xdr:rowOff>
    </xdr:from>
    <xdr:to>
      <xdr:col>12</xdr:col>
      <xdr:colOff>667343</xdr:colOff>
      <xdr:row>50</xdr:row>
      <xdr:rowOff>9980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EFBC41-FB9F-4C17-9E98-0F972AEE2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57975" y="6867525"/>
          <a:ext cx="4248743" cy="32580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900794</xdr:colOff>
      <xdr:row>19</xdr:row>
      <xdr:rowOff>47625</xdr:rowOff>
    </xdr:from>
    <xdr:to>
      <xdr:col>20</xdr:col>
      <xdr:colOff>436200</xdr:colOff>
      <xdr:row>60</xdr:row>
      <xdr:rowOff>40538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4E2A3D-40B2-449E-8E7D-AA56B6D56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0169" y="4791075"/>
          <a:ext cx="5517106" cy="7898663"/>
        </a:xfrm>
        <a:prstGeom prst="rect">
          <a:avLst/>
        </a:prstGeom>
      </xdr:spPr>
    </xdr:pic>
    <xdr:clientData/>
  </xdr:twoCellAnchor>
  <xdr:twoCellAnchor editAs="oneCell">
    <xdr:from>
      <xdr:col>13</xdr:col>
      <xdr:colOff>322491</xdr:colOff>
      <xdr:row>0</xdr:row>
      <xdr:rowOff>0</xdr:rowOff>
    </xdr:from>
    <xdr:to>
      <xdr:col>19</xdr:col>
      <xdr:colOff>558556</xdr:colOff>
      <xdr:row>7</xdr:row>
      <xdr:rowOff>114497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886429-1427-4E71-9879-60560A6EB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2466" y="0"/>
          <a:ext cx="4741390" cy="1447997"/>
        </a:xfrm>
        <a:prstGeom prst="rect">
          <a:avLst/>
        </a:prstGeom>
      </xdr:spPr>
    </xdr:pic>
    <xdr:clientData/>
  </xdr:twoCellAnchor>
  <xdr:twoCellAnchor editAs="oneCell">
    <xdr:from>
      <xdr:col>13</xdr:col>
      <xdr:colOff>453117</xdr:colOff>
      <xdr:row>6</xdr:row>
      <xdr:rowOff>247650</xdr:rowOff>
    </xdr:from>
    <xdr:to>
      <xdr:col>19</xdr:col>
      <xdr:colOff>403411</xdr:colOff>
      <xdr:row>22</xdr:row>
      <xdr:rowOff>95654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573491-C418-4C2D-9293-F432118D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83092" y="1504950"/>
          <a:ext cx="4588969" cy="2953154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18</xdr:row>
      <xdr:rowOff>171450</xdr:rowOff>
    </xdr:from>
    <xdr:to>
      <xdr:col>11</xdr:col>
      <xdr:colOff>562613</xdr:colOff>
      <xdr:row>21</xdr:row>
      <xdr:rowOff>142951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C2267D-7BD6-4759-9E0C-14B58B158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91225" y="4705350"/>
          <a:ext cx="4572638" cy="543001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22</xdr:row>
      <xdr:rowOff>47625</xdr:rowOff>
    </xdr:from>
    <xdr:to>
      <xdr:col>11</xdr:col>
      <xdr:colOff>476250</xdr:colOff>
      <xdr:row>29</xdr:row>
      <xdr:rowOff>47811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532917-4AD4-48D0-8ED5-A22685A4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81700" y="5419725"/>
          <a:ext cx="4495800" cy="1333686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28</xdr:row>
      <xdr:rowOff>161925</xdr:rowOff>
    </xdr:from>
    <xdr:to>
      <xdr:col>11</xdr:col>
      <xdr:colOff>381000</xdr:colOff>
      <xdr:row>54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E68C65-A178-4D3F-8E09-900E57560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81700" y="6867525"/>
          <a:ext cx="4400550" cy="495300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27</xdr:row>
      <xdr:rowOff>161925</xdr:rowOff>
    </xdr:from>
    <xdr:to>
      <xdr:col>12</xdr:col>
      <xdr:colOff>248243</xdr:colOff>
      <xdr:row>44</xdr:row>
      <xdr:rowOff>181430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0B4486D-8D20-4059-8661-19AEC8C4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57975" y="6657975"/>
          <a:ext cx="4248743" cy="32580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123826</xdr:rowOff>
    </xdr:from>
    <xdr:to>
      <xdr:col>11</xdr:col>
      <xdr:colOff>28575</xdr:colOff>
      <xdr:row>32</xdr:row>
      <xdr:rowOff>142290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6DDFE-A230-4111-9B28-661987A3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23826"/>
          <a:ext cx="5734050" cy="6114464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0</xdr:row>
      <xdr:rowOff>161924</xdr:rowOff>
    </xdr:from>
    <xdr:to>
      <xdr:col>23</xdr:col>
      <xdr:colOff>240396</xdr:colOff>
      <xdr:row>32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706AC7-D91D-4FCD-88FF-073A2459E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161924"/>
          <a:ext cx="6164946" cy="59721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67508</xdr:rowOff>
    </xdr:from>
    <xdr:to>
      <xdr:col>13</xdr:col>
      <xdr:colOff>523875</xdr:colOff>
      <xdr:row>29</xdr:row>
      <xdr:rowOff>48650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F4FCA-DE8F-44D2-8F8B-AF190ACBD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58008"/>
          <a:ext cx="8210550" cy="531514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76200</xdr:colOff>
      <xdr:row>1</xdr:row>
      <xdr:rowOff>76293</xdr:rowOff>
    </xdr:from>
    <xdr:to>
      <xdr:col>27</xdr:col>
      <xdr:colOff>91357</xdr:colOff>
      <xdr:row>29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B57812-D592-405E-B8D5-68956E4D5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0" y="266793"/>
          <a:ext cx="7939957" cy="531485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AC023-5DFB-4D4E-A8DD-DC770D2AE745}">
  <dimension ref="A1:N91"/>
  <sheetViews>
    <sheetView zoomScaleNormal="100" workbookViewId="0">
      <selection activeCell="C32" sqref="C32"/>
    </sheetView>
  </sheetViews>
  <sheetFormatPr defaultRowHeight="16.5" x14ac:dyDescent="0.3"/>
  <cols>
    <col min="1" max="1" width="9.140625" style="1"/>
    <col min="2" max="2" width="23.5703125" style="53" customWidth="1"/>
    <col min="3" max="3" width="13.85546875" style="3" bestFit="1" customWidth="1"/>
    <col min="4" max="4" width="15.85546875" style="3" customWidth="1"/>
    <col min="5" max="5" width="11.28515625" style="3" customWidth="1"/>
    <col min="6" max="6" width="9.42578125" style="4" customWidth="1"/>
    <col min="7" max="7" width="11.7109375" style="4" customWidth="1"/>
    <col min="8" max="8" width="8.5703125" style="4" customWidth="1"/>
    <col min="9" max="9" width="11.85546875" style="3" customWidth="1"/>
    <col min="10" max="10" width="10.42578125" style="4" customWidth="1"/>
    <col min="11" max="11" width="13" style="3" customWidth="1"/>
    <col min="12" max="12" width="14.85546875" style="4" customWidth="1"/>
    <col min="13" max="13" width="14.85546875" style="4" bestFit="1" customWidth="1"/>
    <col min="14" max="14" width="13.28515625" style="4" bestFit="1" customWidth="1"/>
    <col min="15" max="16384" width="9.140625" style="3"/>
  </cols>
  <sheetData>
    <row r="1" spans="1:14" x14ac:dyDescent="0.3">
      <c r="B1" s="2" t="s">
        <v>0</v>
      </c>
      <c r="C1" s="70" t="s">
        <v>39</v>
      </c>
      <c r="D1" s="70" t="s">
        <v>40</v>
      </c>
    </row>
    <row r="2" spans="1:14" x14ac:dyDescent="0.3">
      <c r="B2" s="5" t="s">
        <v>1</v>
      </c>
      <c r="C2" s="6">
        <v>3130</v>
      </c>
      <c r="D2" s="67">
        <f>C2</f>
        <v>3130</v>
      </c>
      <c r="E2" s="7"/>
      <c r="F2" s="8"/>
      <c r="G2" s="9"/>
      <c r="H2" s="3"/>
    </row>
    <row r="3" spans="1:14" x14ac:dyDescent="0.3">
      <c r="B3" s="10" t="s">
        <v>2</v>
      </c>
      <c r="C3" s="11">
        <v>14000</v>
      </c>
      <c r="D3" s="11">
        <v>4513</v>
      </c>
      <c r="E3" s="12"/>
      <c r="F3" s="13"/>
      <c r="G3" s="14"/>
      <c r="H3" s="3"/>
    </row>
    <row r="4" spans="1:14" x14ac:dyDescent="0.3">
      <c r="B4" s="15" t="s">
        <v>3</v>
      </c>
      <c r="C4" s="16">
        <f>ROUND((C2*C3),0)</f>
        <v>43820000</v>
      </c>
      <c r="D4" s="17">
        <f>D3*C2</f>
        <v>14125690</v>
      </c>
      <c r="E4" s="18"/>
      <c r="F4" s="18"/>
      <c r="G4" s="18"/>
    </row>
    <row r="5" spans="1:14" x14ac:dyDescent="0.3">
      <c r="B5" s="19"/>
      <c r="C5" s="20"/>
      <c r="D5" s="21"/>
      <c r="E5" s="18"/>
      <c r="F5" s="18"/>
      <c r="G5" s="18"/>
    </row>
    <row r="6" spans="1:14" x14ac:dyDescent="0.3">
      <c r="B6" s="2" t="s">
        <v>4</v>
      </c>
    </row>
    <row r="7" spans="1:14" s="22" customFormat="1" ht="60" x14ac:dyDescent="0.2"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23" t="s">
        <v>10</v>
      </c>
      <c r="H7" s="8" t="s">
        <v>11</v>
      </c>
      <c r="I7" s="23" t="s">
        <v>12</v>
      </c>
      <c r="J7" s="23" t="s">
        <v>13</v>
      </c>
      <c r="K7" s="8" t="s">
        <v>14</v>
      </c>
      <c r="L7" s="8" t="s">
        <v>15</v>
      </c>
      <c r="M7" s="8" t="s">
        <v>16</v>
      </c>
    </row>
    <row r="8" spans="1:14" x14ac:dyDescent="0.3">
      <c r="B8" s="78" t="s">
        <v>17</v>
      </c>
      <c r="C8" s="79"/>
      <c r="D8" s="24"/>
      <c r="E8" s="24"/>
      <c r="F8" s="24"/>
      <c r="G8" s="25"/>
      <c r="H8" s="26"/>
      <c r="I8" s="26"/>
      <c r="J8" s="27"/>
      <c r="K8" s="27"/>
      <c r="L8" s="27"/>
      <c r="M8" s="27"/>
    </row>
    <row r="9" spans="1:14" x14ac:dyDescent="0.3">
      <c r="A9" s="82">
        <v>1</v>
      </c>
      <c r="B9" s="28" t="s">
        <v>31</v>
      </c>
      <c r="C9" s="68"/>
      <c r="D9" s="24"/>
      <c r="E9" s="24"/>
      <c r="F9" s="24"/>
      <c r="G9" s="25"/>
      <c r="H9" s="71"/>
      <c r="I9" s="71"/>
      <c r="J9" s="11">
        <f>G9/100*I9</f>
        <v>0</v>
      </c>
      <c r="K9" s="11">
        <f t="shared" ref="K9:K12" si="0">ROUND((G9-J9),0)</f>
        <v>0</v>
      </c>
      <c r="L9" s="11">
        <f>ROUND((K9*C9),0)</f>
        <v>0</v>
      </c>
      <c r="M9" s="11">
        <f>ROUND((C9*G9),0)</f>
        <v>0</v>
      </c>
    </row>
    <row r="10" spans="1:14" x14ac:dyDescent="0.3">
      <c r="A10" s="82"/>
      <c r="B10" s="29" t="s">
        <v>32</v>
      </c>
      <c r="C10" s="68">
        <v>188.74</v>
      </c>
      <c r="D10" s="24">
        <v>1998</v>
      </c>
      <c r="E10" s="24">
        <v>2025</v>
      </c>
      <c r="F10" s="24">
        <v>60</v>
      </c>
      <c r="G10" s="25">
        <v>20000</v>
      </c>
      <c r="H10" s="71">
        <f>E10-D10</f>
        <v>27</v>
      </c>
      <c r="I10" s="71">
        <f t="shared" ref="I10:I12" si="1">IF(H10&gt;=5,90*H10/F10,0)</f>
        <v>40.5</v>
      </c>
      <c r="J10" s="11">
        <f t="shared" ref="J10:J12" si="2">G10/100*I10</f>
        <v>8100</v>
      </c>
      <c r="K10" s="11">
        <f t="shared" si="0"/>
        <v>11900</v>
      </c>
      <c r="L10" s="11">
        <f>ROUND((K10*C10),0)</f>
        <v>2246006</v>
      </c>
      <c r="M10" s="11">
        <f t="shared" ref="M10:M12" si="3">ROUND((C10*G10),0)</f>
        <v>3774800</v>
      </c>
      <c r="N10" s="30"/>
    </row>
    <row r="11" spans="1:14" ht="16.5" customHeight="1" x14ac:dyDescent="0.3">
      <c r="A11" s="82"/>
      <c r="B11" s="29" t="s">
        <v>38</v>
      </c>
      <c r="C11" s="68">
        <v>1063.1500000000001</v>
      </c>
      <c r="D11" s="24">
        <v>1998</v>
      </c>
      <c r="E11" s="24">
        <v>2025</v>
      </c>
      <c r="F11" s="24">
        <v>60</v>
      </c>
      <c r="G11" s="25">
        <v>22500</v>
      </c>
      <c r="H11" s="71">
        <f>E11-D11</f>
        <v>27</v>
      </c>
      <c r="I11" s="71">
        <f>IF(H11&gt;=5,90*H11/F11,0)</f>
        <v>40.5</v>
      </c>
      <c r="J11" s="11">
        <f>G11/100*I11</f>
        <v>9112.5</v>
      </c>
      <c r="K11" s="11">
        <f>ROUND((G11-J11),0)</f>
        <v>13388</v>
      </c>
      <c r="L11" s="11">
        <f>ROUND((K11*C11),0)</f>
        <v>14233452</v>
      </c>
      <c r="M11" s="11">
        <f>ROUND((C11*G11),0)</f>
        <v>23920875</v>
      </c>
      <c r="N11" s="30"/>
    </row>
    <row r="12" spans="1:14" x14ac:dyDescent="0.3">
      <c r="A12" s="42"/>
      <c r="B12" s="29" t="s">
        <v>33</v>
      </c>
      <c r="C12" s="68">
        <v>188.74</v>
      </c>
      <c r="D12" s="24">
        <v>1998</v>
      </c>
      <c r="E12" s="24">
        <v>2025</v>
      </c>
      <c r="F12" s="24">
        <v>60</v>
      </c>
      <c r="G12" s="25">
        <v>18000</v>
      </c>
      <c r="H12" s="71">
        <f t="shared" ref="H12" si="4">E12-D12</f>
        <v>27</v>
      </c>
      <c r="I12" s="71">
        <f t="shared" si="1"/>
        <v>40.5</v>
      </c>
      <c r="J12" s="11">
        <f t="shared" si="2"/>
        <v>7290</v>
      </c>
      <c r="K12" s="11">
        <f t="shared" si="0"/>
        <v>10710</v>
      </c>
      <c r="L12" s="11">
        <f t="shared" ref="L12" si="5">ROUND((K12*C12),0)</f>
        <v>2021405</v>
      </c>
      <c r="M12" s="11">
        <f t="shared" si="3"/>
        <v>3397320</v>
      </c>
      <c r="N12" s="30"/>
    </row>
    <row r="13" spans="1:14" x14ac:dyDescent="0.3">
      <c r="A13" s="42">
        <v>2</v>
      </c>
      <c r="B13" s="31" t="s">
        <v>35</v>
      </c>
      <c r="C13" s="69">
        <f>11391/10.764</f>
        <v>1058.2497212931996</v>
      </c>
      <c r="D13" s="24">
        <v>1998</v>
      </c>
      <c r="E13" s="24">
        <v>2025</v>
      </c>
      <c r="F13" s="24">
        <v>50</v>
      </c>
      <c r="G13" s="25">
        <v>11000</v>
      </c>
      <c r="H13" s="71">
        <f t="shared" ref="H13:H17" si="6">E13-D13</f>
        <v>27</v>
      </c>
      <c r="I13" s="71">
        <f t="shared" ref="I13:I17" si="7">IF(H13&gt;=5,90*H13/F13,0)</f>
        <v>48.6</v>
      </c>
      <c r="J13" s="11">
        <f t="shared" ref="J13:J17" si="8">G13/100*I13</f>
        <v>5346</v>
      </c>
      <c r="K13" s="11">
        <f t="shared" ref="K13:K17" si="9">ROUND((G13-J13),0)</f>
        <v>5654</v>
      </c>
      <c r="L13" s="11">
        <f t="shared" ref="L13:L17" si="10">ROUND((K13*C13),0)</f>
        <v>5983344</v>
      </c>
      <c r="M13" s="11">
        <f t="shared" ref="M13:M17" si="11">ROUND((C13*G13),0)</f>
        <v>11640747</v>
      </c>
      <c r="N13" s="30"/>
    </row>
    <row r="14" spans="1:14" x14ac:dyDescent="0.3">
      <c r="A14" s="42">
        <v>3</v>
      </c>
      <c r="B14" s="31" t="s">
        <v>43</v>
      </c>
      <c r="C14" s="69">
        <f>1140/10.764</f>
        <v>105.90858416945375</v>
      </c>
      <c r="D14" s="24">
        <v>1998</v>
      </c>
      <c r="E14" s="24">
        <v>2025</v>
      </c>
      <c r="F14" s="24">
        <v>50</v>
      </c>
      <c r="G14" s="25">
        <v>15000</v>
      </c>
      <c r="H14" s="71">
        <f t="shared" si="6"/>
        <v>27</v>
      </c>
      <c r="I14" s="71">
        <f t="shared" si="7"/>
        <v>48.6</v>
      </c>
      <c r="J14" s="11">
        <f t="shared" si="8"/>
        <v>7290</v>
      </c>
      <c r="K14" s="11">
        <f t="shared" si="9"/>
        <v>7710</v>
      </c>
      <c r="L14" s="11">
        <f t="shared" si="10"/>
        <v>816555</v>
      </c>
      <c r="M14" s="11">
        <f t="shared" si="11"/>
        <v>1588629</v>
      </c>
      <c r="N14" s="30"/>
    </row>
    <row r="15" spans="1:14" x14ac:dyDescent="0.3">
      <c r="A15" s="42">
        <v>4</v>
      </c>
      <c r="B15" s="31" t="s">
        <v>44</v>
      </c>
      <c r="C15" s="69">
        <f>1252/10.764</f>
        <v>116.3136380527685</v>
      </c>
      <c r="D15" s="24">
        <v>1998</v>
      </c>
      <c r="E15" s="24">
        <v>2025</v>
      </c>
      <c r="F15" s="24">
        <v>50</v>
      </c>
      <c r="G15" s="25">
        <v>15000</v>
      </c>
      <c r="H15" s="71">
        <f t="shared" si="6"/>
        <v>27</v>
      </c>
      <c r="I15" s="71">
        <f t="shared" si="7"/>
        <v>48.6</v>
      </c>
      <c r="J15" s="11">
        <f t="shared" si="8"/>
        <v>7290</v>
      </c>
      <c r="K15" s="11">
        <f t="shared" si="9"/>
        <v>7710</v>
      </c>
      <c r="L15" s="11">
        <f t="shared" si="10"/>
        <v>896778</v>
      </c>
      <c r="M15" s="11">
        <f t="shared" si="11"/>
        <v>1744705</v>
      </c>
      <c r="N15" s="30"/>
    </row>
    <row r="16" spans="1:14" x14ac:dyDescent="0.3">
      <c r="A16" s="42">
        <v>5</v>
      </c>
      <c r="B16" s="31" t="s">
        <v>36</v>
      </c>
      <c r="C16" s="69">
        <f>154/10.764</f>
        <v>14.306949089557786</v>
      </c>
      <c r="D16" s="24">
        <v>1998</v>
      </c>
      <c r="E16" s="24">
        <v>2025</v>
      </c>
      <c r="F16" s="24">
        <v>60</v>
      </c>
      <c r="G16" s="25">
        <v>11000</v>
      </c>
      <c r="H16" s="71">
        <f t="shared" si="6"/>
        <v>27</v>
      </c>
      <c r="I16" s="71">
        <f t="shared" si="7"/>
        <v>40.5</v>
      </c>
      <c r="J16" s="11">
        <f t="shared" si="8"/>
        <v>4455</v>
      </c>
      <c r="K16" s="11">
        <f t="shared" si="9"/>
        <v>6545</v>
      </c>
      <c r="L16" s="11">
        <f t="shared" si="10"/>
        <v>93639</v>
      </c>
      <c r="M16" s="11">
        <f t="shared" si="11"/>
        <v>157376</v>
      </c>
      <c r="N16" s="30"/>
    </row>
    <row r="17" spans="1:14" x14ac:dyDescent="0.3">
      <c r="A17" s="42">
        <v>6</v>
      </c>
      <c r="B17" s="31" t="s">
        <v>37</v>
      </c>
      <c r="C17" s="69">
        <f>152/10.764</f>
        <v>14.121144555927165</v>
      </c>
      <c r="D17" s="24">
        <v>1998</v>
      </c>
      <c r="E17" s="24">
        <v>2025</v>
      </c>
      <c r="F17" s="24">
        <v>60</v>
      </c>
      <c r="G17" s="25">
        <v>11000</v>
      </c>
      <c r="H17" s="71">
        <f t="shared" si="6"/>
        <v>27</v>
      </c>
      <c r="I17" s="71">
        <f t="shared" si="7"/>
        <v>40.5</v>
      </c>
      <c r="J17" s="11">
        <f t="shared" si="8"/>
        <v>4455</v>
      </c>
      <c r="K17" s="11">
        <f t="shared" si="9"/>
        <v>6545</v>
      </c>
      <c r="L17" s="11">
        <f t="shared" si="10"/>
        <v>92423</v>
      </c>
      <c r="M17" s="11">
        <f t="shared" si="11"/>
        <v>155333</v>
      </c>
      <c r="N17" s="30"/>
    </row>
    <row r="18" spans="1:14" x14ac:dyDescent="0.3">
      <c r="B18" s="80"/>
      <c r="C18" s="81">
        <f>SUM(C10:C17)</f>
        <v>2749.5300371609064</v>
      </c>
      <c r="D18" s="24"/>
      <c r="E18" s="24"/>
      <c r="F18" s="24"/>
      <c r="G18" s="32"/>
      <c r="H18" s="26"/>
      <c r="I18" s="26"/>
      <c r="J18" s="27"/>
      <c r="K18" s="27">
        <f>SUM(K8:K12)</f>
        <v>35998</v>
      </c>
      <c r="L18" s="27">
        <f>SUM(L8:L12)</f>
        <v>18500863</v>
      </c>
      <c r="M18" s="27">
        <f>SUM(M8:M12)</f>
        <v>31092995</v>
      </c>
      <c r="N18" s="30"/>
    </row>
    <row r="19" spans="1:14" x14ac:dyDescent="0.3">
      <c r="B19" s="31"/>
      <c r="C19" s="69"/>
      <c r="D19" s="24"/>
      <c r="E19" s="24"/>
      <c r="F19" s="24"/>
      <c r="G19" s="32"/>
      <c r="H19" s="33"/>
      <c r="I19" s="33"/>
      <c r="J19" s="14"/>
      <c r="K19" s="14"/>
      <c r="L19" s="14"/>
      <c r="M19" s="14"/>
      <c r="N19" s="30"/>
    </row>
    <row r="20" spans="1:14" x14ac:dyDescent="0.3">
      <c r="B20" s="34"/>
      <c r="C20" s="37"/>
      <c r="D20" s="37"/>
      <c r="E20" s="38"/>
      <c r="F20" s="38"/>
      <c r="G20" s="35"/>
      <c r="H20" s="30"/>
      <c r="I20" s="37"/>
      <c r="J20" s="36"/>
      <c r="K20" s="39"/>
      <c r="L20" s="40"/>
      <c r="M20" s="40"/>
      <c r="N20" s="30"/>
    </row>
    <row r="21" spans="1:14" x14ac:dyDescent="0.3">
      <c r="B21" s="110" t="s">
        <v>18</v>
      </c>
      <c r="C21" s="110"/>
      <c r="D21" s="37"/>
      <c r="E21" s="38"/>
      <c r="F21" s="38"/>
      <c r="G21" s="40"/>
      <c r="H21" s="30"/>
      <c r="I21" s="37"/>
      <c r="J21" s="36"/>
      <c r="K21" s="39"/>
      <c r="L21" s="40"/>
      <c r="M21" s="40"/>
      <c r="N21" s="30"/>
    </row>
    <row r="22" spans="1:14" x14ac:dyDescent="0.3">
      <c r="B22" s="5" t="s">
        <v>19</v>
      </c>
      <c r="C22" s="41">
        <v>0</v>
      </c>
      <c r="D22" s="37"/>
      <c r="E22" s="38"/>
      <c r="F22" s="38"/>
      <c r="G22" s="38"/>
      <c r="H22" s="30"/>
      <c r="I22" s="37"/>
      <c r="J22" s="36"/>
      <c r="K22" s="39"/>
      <c r="L22" s="40"/>
      <c r="M22" s="40"/>
      <c r="N22" s="30"/>
    </row>
    <row r="23" spans="1:14" x14ac:dyDescent="0.3">
      <c r="B23" s="42" t="s">
        <v>2</v>
      </c>
      <c r="C23" s="11">
        <v>0</v>
      </c>
      <c r="D23" s="37"/>
      <c r="E23" s="38"/>
      <c r="F23" s="38"/>
      <c r="G23" s="38"/>
      <c r="H23" s="30"/>
      <c r="I23" s="37"/>
      <c r="J23" s="36"/>
      <c r="K23" s="39"/>
      <c r="L23" s="40"/>
      <c r="M23" s="40"/>
      <c r="N23" s="30"/>
    </row>
    <row r="24" spans="1:14" x14ac:dyDescent="0.3">
      <c r="B24" s="42" t="s">
        <v>20</v>
      </c>
      <c r="C24" s="43">
        <f>ROUND((C22*C23),0)</f>
        <v>0</v>
      </c>
      <c r="D24" s="37"/>
      <c r="E24" s="38"/>
      <c r="F24" s="38"/>
      <c r="G24" s="38"/>
      <c r="H24" s="30"/>
      <c r="I24" s="37"/>
      <c r="J24" s="36"/>
      <c r="K24" s="39"/>
      <c r="L24" s="40"/>
      <c r="M24" s="40"/>
      <c r="N24" s="30"/>
    </row>
    <row r="25" spans="1:14" x14ac:dyDescent="0.3">
      <c r="B25" s="34"/>
      <c r="C25" s="37"/>
      <c r="D25" s="37"/>
      <c r="E25" s="38"/>
      <c r="F25" s="38"/>
      <c r="G25" s="38"/>
      <c r="H25" s="30"/>
      <c r="I25" s="37"/>
      <c r="J25" s="36"/>
      <c r="K25" s="39"/>
      <c r="L25" s="40"/>
      <c r="M25" s="40"/>
      <c r="N25" s="30"/>
    </row>
    <row r="26" spans="1:14" ht="22.5" customHeight="1" x14ac:dyDescent="0.3">
      <c r="B26" s="111" t="s">
        <v>21</v>
      </c>
      <c r="C26" s="112"/>
      <c r="D26" s="37"/>
      <c r="E26" s="38"/>
      <c r="F26" s="38"/>
      <c r="G26" s="38"/>
      <c r="H26" s="30"/>
      <c r="I26" s="37"/>
      <c r="J26" s="30"/>
      <c r="K26" s="37"/>
      <c r="L26" s="30"/>
      <c r="M26" s="30"/>
      <c r="N26" s="30"/>
    </row>
    <row r="27" spans="1:14" x14ac:dyDescent="0.3">
      <c r="B27" s="5" t="s">
        <v>22</v>
      </c>
      <c r="C27" s="41">
        <v>1251.8900000000001</v>
      </c>
      <c r="E27" s="44"/>
      <c r="F27" s="44"/>
      <c r="G27" s="45"/>
      <c r="H27" s="46"/>
      <c r="K27" s="47"/>
    </row>
    <row r="28" spans="1:14" x14ac:dyDescent="0.3">
      <c r="B28" s="42" t="s">
        <v>2</v>
      </c>
      <c r="C28" s="11">
        <v>1000</v>
      </c>
      <c r="D28" s="48"/>
      <c r="E28" s="18"/>
      <c r="F28" s="18"/>
      <c r="G28" s="40"/>
      <c r="H28" s="46"/>
      <c r="K28" s="47"/>
    </row>
    <row r="29" spans="1:14" x14ac:dyDescent="0.3">
      <c r="B29" s="42" t="s">
        <v>20</v>
      </c>
      <c r="C29" s="43">
        <v>2000000</v>
      </c>
      <c r="D29" s="49"/>
      <c r="E29" s="50"/>
      <c r="F29" s="51"/>
      <c r="G29" s="52"/>
      <c r="H29" s="46"/>
      <c r="K29" s="47"/>
    </row>
    <row r="30" spans="1:14" x14ac:dyDescent="0.3">
      <c r="B30" s="1"/>
      <c r="C30" s="52"/>
      <c r="D30" s="49"/>
      <c r="E30" s="50"/>
      <c r="F30" s="51"/>
      <c r="G30" s="18"/>
      <c r="H30" s="46"/>
      <c r="K30" s="47"/>
    </row>
    <row r="31" spans="1:14" x14ac:dyDescent="0.3">
      <c r="C31" s="50" t="s">
        <v>23</v>
      </c>
      <c r="D31" s="72" t="s">
        <v>24</v>
      </c>
      <c r="E31" s="50"/>
      <c r="F31" s="51"/>
      <c r="G31" s="18"/>
      <c r="H31" s="46"/>
      <c r="K31" s="47"/>
    </row>
    <row r="32" spans="1:14" x14ac:dyDescent="0.3">
      <c r="B32" s="53" t="s">
        <v>0</v>
      </c>
      <c r="C32" s="83">
        <f>C4</f>
        <v>43820000</v>
      </c>
      <c r="D32" s="73">
        <v>34400000</v>
      </c>
      <c r="E32" s="54"/>
      <c r="F32" s="54"/>
      <c r="G32" s="54"/>
      <c r="H32" s="55"/>
      <c r="K32" s="56"/>
    </row>
    <row r="33" spans="2:13" x14ac:dyDescent="0.3">
      <c r="B33" s="53" t="s">
        <v>4</v>
      </c>
      <c r="C33" s="83">
        <f>L18</f>
        <v>18500863</v>
      </c>
      <c r="D33" s="73">
        <v>27800000</v>
      </c>
      <c r="E33" s="54"/>
      <c r="F33" s="54"/>
      <c r="G33" s="54"/>
      <c r="H33" s="55"/>
      <c r="K33" s="55"/>
    </row>
    <row r="34" spans="2:13" ht="21" customHeight="1" x14ac:dyDescent="0.3">
      <c r="B34" s="53" t="s">
        <v>42</v>
      </c>
      <c r="C34" s="83">
        <f>C24</f>
        <v>0</v>
      </c>
      <c r="D34" s="73">
        <f>C34</f>
        <v>0</v>
      </c>
      <c r="E34" s="54"/>
      <c r="F34" s="54"/>
      <c r="G34" s="54"/>
      <c r="H34" s="55"/>
      <c r="K34" s="55"/>
    </row>
    <row r="35" spans="2:13" x14ac:dyDescent="0.3">
      <c r="B35" s="53" t="s">
        <v>25</v>
      </c>
      <c r="C35" s="83">
        <f>C29</f>
        <v>2000000</v>
      </c>
      <c r="D35" s="73">
        <v>1600000</v>
      </c>
      <c r="E35" s="54"/>
      <c r="F35" s="54"/>
      <c r="G35" s="54"/>
      <c r="H35" s="55"/>
      <c r="K35" s="55"/>
    </row>
    <row r="36" spans="2:13" x14ac:dyDescent="0.3">
      <c r="B36" s="2" t="s">
        <v>26</v>
      </c>
      <c r="C36" s="84">
        <f>C32+C33+C34+C35</f>
        <v>64320863</v>
      </c>
      <c r="D36" s="73">
        <f>SUM(D32:D35)</f>
        <v>63800000</v>
      </c>
      <c r="E36" s="4"/>
      <c r="F36" s="56"/>
    </row>
    <row r="37" spans="2:13" x14ac:dyDescent="0.3">
      <c r="B37" s="2" t="s">
        <v>27</v>
      </c>
      <c r="C37" s="84">
        <f>ROUND((C36*0.9),0)</f>
        <v>57888777</v>
      </c>
      <c r="D37" s="74">
        <f>ROUND((D36*0.9),0)</f>
        <v>57420000</v>
      </c>
      <c r="E37" s="4"/>
      <c r="F37" s="56"/>
      <c r="H37" s="57"/>
    </row>
    <row r="38" spans="2:13" hidden="1" x14ac:dyDescent="0.3">
      <c r="B38" s="58" t="s">
        <v>20</v>
      </c>
      <c r="C38" s="83">
        <f>C36*0.8</f>
        <v>51456690.400000006</v>
      </c>
      <c r="D38" s="75"/>
      <c r="E38" s="4"/>
      <c r="F38" s="56"/>
    </row>
    <row r="39" spans="2:13" hidden="1" x14ac:dyDescent="0.3">
      <c r="B39" s="60"/>
      <c r="C39" s="83">
        <f>ROUNDUP(C38,0)</f>
        <v>51456691</v>
      </c>
      <c r="D39" s="75"/>
      <c r="E39" s="4"/>
      <c r="F39" s="56"/>
    </row>
    <row r="40" spans="2:13" hidden="1" x14ac:dyDescent="0.3">
      <c r="B40" s="60"/>
      <c r="C40" s="83">
        <f>C39-C38</f>
        <v>0.59999999403953552</v>
      </c>
      <c r="D40" s="75"/>
      <c r="E40" s="4"/>
      <c r="F40" s="56"/>
    </row>
    <row r="41" spans="2:13" x14ac:dyDescent="0.3">
      <c r="B41" s="2" t="s">
        <v>28</v>
      </c>
      <c r="C41" s="84">
        <f>ROUND((C36*0.8),0)</f>
        <v>51456690</v>
      </c>
      <c r="D41" s="74">
        <f>ROUND((D36*0.8),0)</f>
        <v>51040000</v>
      </c>
      <c r="E41" s="4"/>
      <c r="F41" s="56"/>
      <c r="H41" s="57"/>
    </row>
    <row r="42" spans="2:13" hidden="1" x14ac:dyDescent="0.3">
      <c r="B42" s="4" t="s">
        <v>20</v>
      </c>
      <c r="C42" s="84" t="e">
        <f>#REF!</f>
        <v>#REF!</v>
      </c>
      <c r="D42" s="75"/>
      <c r="E42" s="4"/>
      <c r="F42" s="56"/>
    </row>
    <row r="43" spans="2:13" hidden="1" x14ac:dyDescent="0.3">
      <c r="B43" s="58"/>
      <c r="C43" s="83" t="e">
        <f>ROUNDUP(C42,0)</f>
        <v>#REF!</v>
      </c>
      <c r="D43" s="75"/>
      <c r="E43" s="4"/>
    </row>
    <row r="44" spans="2:13" hidden="1" x14ac:dyDescent="0.3">
      <c r="B44" s="58"/>
      <c r="C44" s="83" t="e">
        <f>C43-C42</f>
        <v>#REF!</v>
      </c>
      <c r="D44" s="75"/>
      <c r="E44" s="4"/>
    </row>
    <row r="45" spans="2:13" x14ac:dyDescent="0.3">
      <c r="B45" s="2" t="s">
        <v>29</v>
      </c>
      <c r="C45" s="84">
        <f>C33*0.85</f>
        <v>15725733.549999999</v>
      </c>
      <c r="D45" s="76">
        <v>34400000</v>
      </c>
      <c r="E45" s="4"/>
      <c r="M45" s="61"/>
    </row>
    <row r="46" spans="2:13" x14ac:dyDescent="0.3">
      <c r="B46" s="53" t="s">
        <v>30</v>
      </c>
      <c r="C46" s="83">
        <f>D4+C33</f>
        <v>32626553</v>
      </c>
      <c r="D46" s="76">
        <f>5753*3895</f>
        <v>22407935</v>
      </c>
      <c r="E46" s="4"/>
      <c r="M46" s="61"/>
    </row>
    <row r="47" spans="2:13" x14ac:dyDescent="0.3">
      <c r="D47" s="77"/>
      <c r="E47" s="4"/>
      <c r="F47" s="18"/>
      <c r="G47" s="18"/>
      <c r="H47" s="18"/>
      <c r="M47" s="61"/>
    </row>
    <row r="48" spans="2:13" x14ac:dyDescent="0.3">
      <c r="D48" s="77"/>
      <c r="E48" s="4"/>
      <c r="F48" s="18"/>
      <c r="G48" s="18"/>
      <c r="H48" s="18"/>
      <c r="K48" s="62"/>
      <c r="M48" s="61"/>
    </row>
    <row r="49" spans="3:13" x14ac:dyDescent="0.3">
      <c r="D49" s="77"/>
      <c r="E49" s="4"/>
      <c r="H49" s="18"/>
      <c r="K49" s="62"/>
      <c r="M49" s="61"/>
    </row>
    <row r="50" spans="3:13" x14ac:dyDescent="0.3">
      <c r="D50" s="4"/>
      <c r="E50" s="4"/>
      <c r="H50" s="59"/>
      <c r="K50" s="62"/>
      <c r="M50" s="61"/>
    </row>
    <row r="51" spans="3:13" x14ac:dyDescent="0.3">
      <c r="D51" s="4"/>
      <c r="E51" s="4"/>
      <c r="H51" s="18"/>
      <c r="K51" s="62"/>
      <c r="M51" s="61"/>
    </row>
    <row r="52" spans="3:13" x14ac:dyDescent="0.3">
      <c r="D52" s="4"/>
      <c r="E52" s="4"/>
      <c r="H52" s="18"/>
      <c r="K52" s="62"/>
      <c r="M52" s="61"/>
    </row>
    <row r="53" spans="3:13" x14ac:dyDescent="0.3">
      <c r="D53" s="4"/>
      <c r="E53" s="4"/>
      <c r="H53" s="18"/>
      <c r="K53" s="62"/>
      <c r="M53" s="61"/>
    </row>
    <row r="54" spans="3:13" x14ac:dyDescent="0.3">
      <c r="E54" s="18"/>
      <c r="F54" s="18"/>
      <c r="G54" s="18"/>
      <c r="H54" s="18"/>
      <c r="K54" s="62"/>
      <c r="M54" s="61"/>
    </row>
    <row r="55" spans="3:13" x14ac:dyDescent="0.3">
      <c r="E55" s="18"/>
      <c r="F55" s="18"/>
      <c r="G55" s="18"/>
      <c r="H55" s="18"/>
    </row>
    <row r="56" spans="3:13" x14ac:dyDescent="0.3">
      <c r="E56" s="18"/>
      <c r="F56" s="18"/>
      <c r="G56" s="18"/>
      <c r="H56" s="18"/>
    </row>
    <row r="62" spans="3:13" ht="17.25" thickBot="1" x14ac:dyDescent="0.35">
      <c r="C62" s="85">
        <v>7363</v>
      </c>
    </row>
    <row r="63" spans="3:13" ht="17.25" thickBot="1" x14ac:dyDescent="0.35">
      <c r="C63" s="85">
        <v>3942</v>
      </c>
    </row>
    <row r="64" spans="3:13" ht="17.25" thickBot="1" x14ac:dyDescent="0.35">
      <c r="C64" s="85">
        <v>3942</v>
      </c>
    </row>
    <row r="65" spans="3:12" ht="17.25" thickBot="1" x14ac:dyDescent="0.35">
      <c r="C65" s="85">
        <v>11391</v>
      </c>
    </row>
    <row r="66" spans="3:12" ht="17.25" thickBot="1" x14ac:dyDescent="0.35">
      <c r="C66" s="85">
        <v>1140</v>
      </c>
      <c r="F66" s="63"/>
      <c r="G66" s="63"/>
      <c r="H66" s="63"/>
      <c r="I66" s="2"/>
    </row>
    <row r="67" spans="3:12" ht="17.25" thickBot="1" x14ac:dyDescent="0.35">
      <c r="C67" s="85">
        <v>1252</v>
      </c>
      <c r="F67" s="61"/>
      <c r="G67" s="3"/>
      <c r="H67" s="61"/>
      <c r="L67" s="4">
        <v>8835.6</v>
      </c>
    </row>
    <row r="68" spans="3:12" x14ac:dyDescent="0.3">
      <c r="C68" s="3">
        <f>SUM(C62:C67)</f>
        <v>29030</v>
      </c>
      <c r="F68" s="61"/>
      <c r="G68" s="61"/>
      <c r="H68" s="64"/>
      <c r="L68" s="4">
        <v>4730.3999999999996</v>
      </c>
    </row>
    <row r="69" spans="3:12" x14ac:dyDescent="0.3">
      <c r="C69" s="3">
        <f>C68/10.764</f>
        <v>2696.9528056484578</v>
      </c>
      <c r="F69" s="61"/>
      <c r="G69" s="61"/>
      <c r="H69" s="61"/>
      <c r="L69" s="4">
        <v>4730.3999999999996</v>
      </c>
    </row>
    <row r="70" spans="3:12" x14ac:dyDescent="0.3">
      <c r="F70" s="61"/>
      <c r="G70" s="65"/>
      <c r="H70" s="61"/>
      <c r="L70" s="4">
        <v>1368</v>
      </c>
    </row>
    <row r="71" spans="3:12" x14ac:dyDescent="0.3">
      <c r="F71" s="61"/>
      <c r="G71" s="61"/>
      <c r="H71" s="61"/>
      <c r="L71" s="4">
        <v>1502.4</v>
      </c>
    </row>
    <row r="72" spans="3:12" x14ac:dyDescent="0.3">
      <c r="F72" s="61"/>
      <c r="G72" s="61"/>
      <c r="H72" s="61"/>
      <c r="L72" s="4">
        <v>154</v>
      </c>
    </row>
    <row r="73" spans="3:12" x14ac:dyDescent="0.3">
      <c r="F73" s="61"/>
      <c r="G73" s="61"/>
      <c r="H73" s="61"/>
      <c r="L73" s="4">
        <v>154</v>
      </c>
    </row>
    <row r="74" spans="3:12" x14ac:dyDescent="0.3">
      <c r="F74" s="61"/>
      <c r="G74" s="61"/>
      <c r="H74" s="61"/>
      <c r="L74" s="4">
        <f>SUM(L67:L73)</f>
        <v>21474.800000000003</v>
      </c>
    </row>
    <row r="75" spans="3:12" x14ac:dyDescent="0.3">
      <c r="F75" s="61"/>
      <c r="G75" s="61"/>
      <c r="H75" s="61"/>
      <c r="L75" s="4">
        <f>L74/10.764</f>
        <v>1995.0575994054259</v>
      </c>
    </row>
    <row r="76" spans="3:12" x14ac:dyDescent="0.3">
      <c r="F76" s="61"/>
      <c r="G76" s="61"/>
      <c r="H76" s="61"/>
    </row>
    <row r="78" spans="3:12" x14ac:dyDescent="0.3">
      <c r="F78" s="4">
        <v>101.91</v>
      </c>
    </row>
    <row r="79" spans="3:12" x14ac:dyDescent="0.3">
      <c r="F79" s="4">
        <v>106.15</v>
      </c>
    </row>
    <row r="80" spans="3:12" x14ac:dyDescent="0.3">
      <c r="F80" s="4">
        <v>49.53</v>
      </c>
    </row>
    <row r="81" spans="6:14" x14ac:dyDescent="0.3">
      <c r="F81" s="4">
        <v>8.7430000000000003</v>
      </c>
    </row>
    <row r="82" spans="6:14" x14ac:dyDescent="0.3">
      <c r="F82" s="66">
        <f>SUM(F78:F81)</f>
        <v>266.33300000000003</v>
      </c>
    </row>
    <row r="83" spans="6:14" x14ac:dyDescent="0.3">
      <c r="F83" s="66"/>
    </row>
    <row r="84" spans="6:14" x14ac:dyDescent="0.3">
      <c r="F84" s="66"/>
    </row>
    <row r="85" spans="6:14" x14ac:dyDescent="0.3">
      <c r="F85" s="66"/>
    </row>
    <row r="86" spans="6:14" x14ac:dyDescent="0.3">
      <c r="F86" s="66"/>
    </row>
    <row r="87" spans="6:14" x14ac:dyDescent="0.3">
      <c r="F87" s="66"/>
      <c r="L87" s="4">
        <v>1</v>
      </c>
      <c r="M87" s="4">
        <v>4046.86</v>
      </c>
      <c r="N87" s="4">
        <v>7200000</v>
      </c>
    </row>
    <row r="88" spans="6:14" x14ac:dyDescent="0.3">
      <c r="F88" s="66"/>
      <c r="M88" s="4">
        <v>1</v>
      </c>
      <c r="N88" s="4">
        <f>N87/M87</f>
        <v>1779.1571737099875</v>
      </c>
    </row>
    <row r="89" spans="6:14" x14ac:dyDescent="0.3">
      <c r="F89" s="66"/>
    </row>
    <row r="90" spans="6:14" x14ac:dyDescent="0.3">
      <c r="F90" s="66"/>
    </row>
    <row r="91" spans="6:14" x14ac:dyDescent="0.3">
      <c r="F91" s="66"/>
    </row>
  </sheetData>
  <mergeCells count="2">
    <mergeCell ref="B21:C21"/>
    <mergeCell ref="B26:C26"/>
  </mergeCells>
  <pageMargins left="0.7" right="0.7" top="0.75" bottom="0.75" header="0.3" footer="0.3"/>
  <pageSetup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C14D1-1E5D-44C1-8E51-85432195A341}">
  <dimension ref="A1:U93"/>
  <sheetViews>
    <sheetView tabSelected="1" topLeftCell="A13" zoomScaleNormal="100" workbookViewId="0">
      <selection activeCell="E36" sqref="E36"/>
    </sheetView>
  </sheetViews>
  <sheetFormatPr defaultRowHeight="16.5" x14ac:dyDescent="0.3"/>
  <cols>
    <col min="1" max="1" width="9.140625" style="1"/>
    <col min="2" max="2" width="23.5703125" style="53" customWidth="1"/>
    <col min="3" max="3" width="13.85546875" style="3" bestFit="1" customWidth="1"/>
    <col min="4" max="4" width="15.85546875" style="3" customWidth="1"/>
    <col min="5" max="5" width="11.28515625" style="3" customWidth="1"/>
    <col min="6" max="6" width="11.28515625" style="4" customWidth="1"/>
    <col min="7" max="7" width="16.7109375" style="4" bestFit="1" customWidth="1"/>
    <col min="8" max="8" width="13.28515625" style="4" bestFit="1" customWidth="1"/>
    <col min="9" max="9" width="11.85546875" style="3" customWidth="1"/>
    <col min="10" max="10" width="12" style="4" bestFit="1" customWidth="1"/>
    <col min="11" max="11" width="13" style="3" customWidth="1"/>
    <col min="12" max="12" width="14.85546875" style="4" customWidth="1"/>
    <col min="13" max="13" width="14.85546875" style="4" bestFit="1" customWidth="1"/>
    <col min="14" max="14" width="3" style="4" bestFit="1" customWidth="1"/>
    <col min="15" max="16" width="9.140625" style="3"/>
    <col min="17" max="17" width="26.140625" style="3" bestFit="1" customWidth="1"/>
    <col min="18" max="16384" width="9.140625" style="3"/>
  </cols>
  <sheetData>
    <row r="1" spans="1:14" x14ac:dyDescent="0.3">
      <c r="B1" s="2" t="s">
        <v>0</v>
      </c>
      <c r="C1" s="70" t="s">
        <v>39</v>
      </c>
      <c r="D1" s="70" t="s">
        <v>39</v>
      </c>
      <c r="K1" s="3" t="s">
        <v>74</v>
      </c>
      <c r="L1" s="4" t="s">
        <v>75</v>
      </c>
    </row>
    <row r="2" spans="1:14" x14ac:dyDescent="0.3">
      <c r="B2" s="5" t="s">
        <v>1</v>
      </c>
      <c r="C2" s="6">
        <v>3130</v>
      </c>
      <c r="D2" s="67">
        <f>C2</f>
        <v>3130</v>
      </c>
      <c r="E2" s="7"/>
      <c r="F2" s="8"/>
      <c r="G2" s="9"/>
      <c r="H2" s="3"/>
      <c r="J2" s="4" t="s">
        <v>32</v>
      </c>
    </row>
    <row r="3" spans="1:14" x14ac:dyDescent="0.3">
      <c r="B3" s="10" t="s">
        <v>2</v>
      </c>
      <c r="C3" s="11">
        <v>12000</v>
      </c>
      <c r="D3" s="11">
        <v>4513</v>
      </c>
      <c r="E3" s="12"/>
      <c r="F3" s="13"/>
      <c r="G3" s="14"/>
      <c r="H3" s="3">
        <v>1251.8900000000001</v>
      </c>
      <c r="I3" s="113">
        <f>4730.4/10.764</f>
        <v>439.46488294314378</v>
      </c>
      <c r="J3" s="4" t="s">
        <v>72</v>
      </c>
      <c r="M3" s="4">
        <f>I3*10.764</f>
        <v>4730.3999999999996</v>
      </c>
    </row>
    <row r="4" spans="1:14" x14ac:dyDescent="0.3">
      <c r="B4" s="15" t="s">
        <v>3</v>
      </c>
      <c r="C4" s="88">
        <f>ROUND((C2*C3),0)</f>
        <v>37560000</v>
      </c>
      <c r="D4" s="17">
        <f>D3*C2</f>
        <v>14125690</v>
      </c>
      <c r="E4" s="18"/>
      <c r="F4" s="18"/>
      <c r="G4" s="18"/>
      <c r="I4" s="113">
        <f>H3-I3</f>
        <v>812.42511705685638</v>
      </c>
      <c r="J4" s="4" t="s">
        <v>73</v>
      </c>
      <c r="M4" s="4">
        <f>I4*10.764</f>
        <v>8744.9439600000023</v>
      </c>
    </row>
    <row r="5" spans="1:14" x14ac:dyDescent="0.3">
      <c r="B5" s="19"/>
      <c r="C5" s="20"/>
      <c r="D5" s="21"/>
      <c r="E5" s="18"/>
      <c r="F5" s="18"/>
      <c r="G5" s="18"/>
    </row>
    <row r="6" spans="1:14" x14ac:dyDescent="0.3">
      <c r="B6" s="2" t="s">
        <v>4</v>
      </c>
    </row>
    <row r="7" spans="1:14" s="22" customFormat="1" ht="60" x14ac:dyDescent="0.2"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23" t="s">
        <v>10</v>
      </c>
      <c r="H7" s="8" t="s">
        <v>11</v>
      </c>
      <c r="I7" s="23" t="s">
        <v>12</v>
      </c>
      <c r="J7" s="23" t="s">
        <v>13</v>
      </c>
      <c r="K7" s="8" t="s">
        <v>14</v>
      </c>
      <c r="L7" s="8" t="s">
        <v>15</v>
      </c>
      <c r="M7" s="8" t="s">
        <v>16</v>
      </c>
    </row>
    <row r="8" spans="1:14" x14ac:dyDescent="0.3">
      <c r="B8" s="78" t="s">
        <v>17</v>
      </c>
      <c r="C8" s="79"/>
      <c r="D8" s="24"/>
      <c r="E8" s="24"/>
      <c r="F8" s="24"/>
      <c r="G8" s="25"/>
      <c r="H8" s="26"/>
      <c r="I8" s="26"/>
      <c r="J8" s="27"/>
      <c r="K8" s="27"/>
      <c r="L8" s="27"/>
      <c r="M8" s="27"/>
    </row>
    <row r="9" spans="1:14" x14ac:dyDescent="0.3">
      <c r="A9" s="82">
        <v>1</v>
      </c>
      <c r="B9" s="28" t="s">
        <v>31</v>
      </c>
      <c r="C9" s="68"/>
      <c r="D9" s="24"/>
      <c r="E9" s="24"/>
      <c r="F9" s="24"/>
      <c r="G9" s="25"/>
      <c r="H9" s="71"/>
      <c r="I9" s="71"/>
      <c r="J9" s="11">
        <f t="shared" ref="J9:J16" si="0">G9/100*I9</f>
        <v>0</v>
      </c>
      <c r="K9" s="11">
        <f t="shared" ref="K9:K16" si="1">ROUND((G9-J9),0)</f>
        <v>0</v>
      </c>
      <c r="L9" s="11">
        <f t="shared" ref="L9:L16" si="2">ROUND((K9*C9),0)</f>
        <v>0</v>
      </c>
      <c r="M9" s="11">
        <f t="shared" ref="M9:M16" si="3">ROUND((C9*G9),0)</f>
        <v>0</v>
      </c>
    </row>
    <row r="10" spans="1:14" x14ac:dyDescent="0.3">
      <c r="A10" s="82"/>
      <c r="B10" s="29" t="s">
        <v>32</v>
      </c>
      <c r="C10" s="114">
        <v>439.43</v>
      </c>
      <c r="D10" s="24">
        <v>1999</v>
      </c>
      <c r="E10" s="24">
        <v>2025</v>
      </c>
      <c r="F10" s="24">
        <v>60</v>
      </c>
      <c r="G10" s="25">
        <v>18500</v>
      </c>
      <c r="H10" s="71">
        <f t="shared" ref="H10:H16" si="4">E10-D10</f>
        <v>26</v>
      </c>
      <c r="I10" s="71">
        <f t="shared" ref="I10:I16" si="5">IF(H10&gt;=5,90*H10/F10,0)</f>
        <v>39</v>
      </c>
      <c r="J10" s="11">
        <f t="shared" si="0"/>
        <v>7215</v>
      </c>
      <c r="K10" s="11">
        <f t="shared" si="1"/>
        <v>11285</v>
      </c>
      <c r="L10" s="11">
        <f t="shared" si="2"/>
        <v>4958968</v>
      </c>
      <c r="M10" s="11">
        <f t="shared" si="3"/>
        <v>8129455</v>
      </c>
      <c r="N10" s="38">
        <f t="shared" ref="N10:N16" si="6">F10-H10</f>
        <v>34</v>
      </c>
    </row>
    <row r="11" spans="1:14" ht="16.5" customHeight="1" x14ac:dyDescent="0.3">
      <c r="A11" s="82"/>
      <c r="B11" s="29" t="s">
        <v>38</v>
      </c>
      <c r="C11" s="115">
        <v>812.46</v>
      </c>
      <c r="D11" s="24">
        <v>1999</v>
      </c>
      <c r="E11" s="24">
        <v>2025</v>
      </c>
      <c r="F11" s="24">
        <v>60</v>
      </c>
      <c r="G11" s="25">
        <v>21000</v>
      </c>
      <c r="H11" s="71">
        <f t="shared" si="4"/>
        <v>26</v>
      </c>
      <c r="I11" s="71">
        <f t="shared" si="5"/>
        <v>39</v>
      </c>
      <c r="J11" s="11">
        <f t="shared" si="0"/>
        <v>8190</v>
      </c>
      <c r="K11" s="11">
        <f t="shared" si="1"/>
        <v>12810</v>
      </c>
      <c r="L11" s="11">
        <f t="shared" si="2"/>
        <v>10407613</v>
      </c>
      <c r="M11" s="11">
        <f t="shared" si="3"/>
        <v>17061660</v>
      </c>
      <c r="N11" s="38">
        <f t="shared" si="6"/>
        <v>34</v>
      </c>
    </row>
    <row r="12" spans="1:14" x14ac:dyDescent="0.3">
      <c r="A12" s="42"/>
      <c r="B12" s="29" t="s">
        <v>33</v>
      </c>
      <c r="C12" s="86">
        <v>188.74</v>
      </c>
      <c r="D12" s="24">
        <v>1999</v>
      </c>
      <c r="E12" s="24">
        <v>2025</v>
      </c>
      <c r="F12" s="24">
        <v>60</v>
      </c>
      <c r="G12" s="25">
        <v>15000</v>
      </c>
      <c r="H12" s="71">
        <f t="shared" si="4"/>
        <v>26</v>
      </c>
      <c r="I12" s="71">
        <f t="shared" si="5"/>
        <v>39</v>
      </c>
      <c r="J12" s="11">
        <f t="shared" si="0"/>
        <v>5850</v>
      </c>
      <c r="K12" s="11">
        <f t="shared" si="1"/>
        <v>9150</v>
      </c>
      <c r="L12" s="11">
        <f t="shared" si="2"/>
        <v>1726971</v>
      </c>
      <c r="M12" s="11">
        <f t="shared" si="3"/>
        <v>2831100</v>
      </c>
      <c r="N12" s="38">
        <f t="shared" si="6"/>
        <v>34</v>
      </c>
    </row>
    <row r="13" spans="1:14" x14ac:dyDescent="0.3">
      <c r="A13" s="42"/>
      <c r="B13" s="31" t="s">
        <v>34</v>
      </c>
      <c r="C13" s="87">
        <v>266.33</v>
      </c>
      <c r="D13" s="24">
        <v>1999</v>
      </c>
      <c r="E13" s="24">
        <v>2025</v>
      </c>
      <c r="F13" s="24">
        <v>50</v>
      </c>
      <c r="G13" s="25">
        <v>12000</v>
      </c>
      <c r="H13" s="71">
        <f t="shared" si="4"/>
        <v>26</v>
      </c>
      <c r="I13" s="71">
        <f t="shared" si="5"/>
        <v>46.8</v>
      </c>
      <c r="J13" s="11">
        <f t="shared" si="0"/>
        <v>5616</v>
      </c>
      <c r="K13" s="11">
        <f t="shared" si="1"/>
        <v>6384</v>
      </c>
      <c r="L13" s="11">
        <f t="shared" si="2"/>
        <v>1700251</v>
      </c>
      <c r="M13" s="11">
        <f t="shared" si="3"/>
        <v>3195960</v>
      </c>
      <c r="N13" s="38">
        <f t="shared" si="6"/>
        <v>24</v>
      </c>
    </row>
    <row r="14" spans="1:14" x14ac:dyDescent="0.3">
      <c r="A14" s="42">
        <v>2</v>
      </c>
      <c r="B14" s="31" t="s">
        <v>35</v>
      </c>
      <c r="C14" s="87">
        <f>11391/10.764</f>
        <v>1058.2497212931996</v>
      </c>
      <c r="D14" s="24">
        <v>1999</v>
      </c>
      <c r="E14" s="24">
        <v>2025</v>
      </c>
      <c r="F14" s="24">
        <v>50</v>
      </c>
      <c r="G14" s="25">
        <v>10000</v>
      </c>
      <c r="H14" s="71">
        <f t="shared" si="4"/>
        <v>26</v>
      </c>
      <c r="I14" s="71">
        <f t="shared" si="5"/>
        <v>46.8</v>
      </c>
      <c r="J14" s="11">
        <f t="shared" si="0"/>
        <v>4680</v>
      </c>
      <c r="K14" s="11">
        <f t="shared" si="1"/>
        <v>5320</v>
      </c>
      <c r="L14" s="11">
        <f t="shared" si="2"/>
        <v>5629889</v>
      </c>
      <c r="M14" s="11">
        <f t="shared" si="3"/>
        <v>10582497</v>
      </c>
      <c r="N14" s="38">
        <f t="shared" si="6"/>
        <v>24</v>
      </c>
    </row>
    <row r="15" spans="1:14" x14ac:dyDescent="0.3">
      <c r="A15" s="42">
        <v>3</v>
      </c>
      <c r="B15" s="31" t="s">
        <v>36</v>
      </c>
      <c r="C15" s="87">
        <f>154/10.764</f>
        <v>14.306949089557786</v>
      </c>
      <c r="D15" s="24">
        <v>1999</v>
      </c>
      <c r="E15" s="24">
        <v>2025</v>
      </c>
      <c r="F15" s="24">
        <v>60</v>
      </c>
      <c r="G15" s="25">
        <v>10000</v>
      </c>
      <c r="H15" s="71">
        <f t="shared" si="4"/>
        <v>26</v>
      </c>
      <c r="I15" s="71">
        <f t="shared" si="5"/>
        <v>39</v>
      </c>
      <c r="J15" s="11">
        <f t="shared" si="0"/>
        <v>3900</v>
      </c>
      <c r="K15" s="11">
        <f t="shared" si="1"/>
        <v>6100</v>
      </c>
      <c r="L15" s="11">
        <f t="shared" si="2"/>
        <v>87272</v>
      </c>
      <c r="M15" s="11">
        <f t="shared" si="3"/>
        <v>143069</v>
      </c>
      <c r="N15" s="38">
        <f t="shared" si="6"/>
        <v>34</v>
      </c>
    </row>
    <row r="16" spans="1:14" x14ac:dyDescent="0.3">
      <c r="A16" s="42">
        <v>4</v>
      </c>
      <c r="B16" s="31" t="s">
        <v>37</v>
      </c>
      <c r="C16" s="87">
        <f>152/10.764</f>
        <v>14.121144555927165</v>
      </c>
      <c r="D16" s="24">
        <v>1999</v>
      </c>
      <c r="E16" s="24">
        <v>2025</v>
      </c>
      <c r="F16" s="24">
        <v>60</v>
      </c>
      <c r="G16" s="25">
        <v>10000</v>
      </c>
      <c r="H16" s="71">
        <f t="shared" si="4"/>
        <v>26</v>
      </c>
      <c r="I16" s="71">
        <f t="shared" si="5"/>
        <v>39</v>
      </c>
      <c r="J16" s="11">
        <f t="shared" si="0"/>
        <v>3900</v>
      </c>
      <c r="K16" s="11">
        <f t="shared" si="1"/>
        <v>6100</v>
      </c>
      <c r="L16" s="11">
        <f t="shared" si="2"/>
        <v>86139</v>
      </c>
      <c r="M16" s="11">
        <f t="shared" si="3"/>
        <v>141211</v>
      </c>
      <c r="N16" s="38">
        <f t="shared" si="6"/>
        <v>34</v>
      </c>
    </row>
    <row r="17" spans="2:14" x14ac:dyDescent="0.3">
      <c r="B17" s="80"/>
      <c r="C17" s="116">
        <f>SUM(C10:C16)</f>
        <v>2793.6378149386842</v>
      </c>
      <c r="D17" s="24"/>
      <c r="E17" s="24"/>
      <c r="F17" s="24"/>
      <c r="G17" s="32"/>
      <c r="H17" s="26"/>
      <c r="I17" s="26"/>
      <c r="J17" s="27"/>
      <c r="K17" s="27">
        <f>SUM(K8:K12)</f>
        <v>33245</v>
      </c>
      <c r="L17" s="27">
        <f>SUM(L9:L16)</f>
        <v>24597103</v>
      </c>
      <c r="M17" s="27">
        <f>SUM(M9:M16)</f>
        <v>42084952</v>
      </c>
      <c r="N17" s="30"/>
    </row>
    <row r="18" spans="2:14" x14ac:dyDescent="0.3">
      <c r="B18" s="31"/>
      <c r="C18" s="69"/>
      <c r="D18" s="24"/>
      <c r="E18" s="24"/>
      <c r="F18" s="24"/>
      <c r="G18" s="32"/>
      <c r="H18" s="33"/>
      <c r="I18" s="33"/>
      <c r="J18" s="14"/>
      <c r="K18" s="14"/>
      <c r="L18" s="14"/>
      <c r="M18" s="14"/>
      <c r="N18" s="30"/>
    </row>
    <row r="19" spans="2:14" x14ac:dyDescent="0.3">
      <c r="B19" s="34"/>
      <c r="C19" s="37"/>
      <c r="D19" s="37"/>
      <c r="E19" s="38"/>
      <c r="F19" s="38"/>
      <c r="G19" s="35"/>
      <c r="H19" s="30"/>
      <c r="I19" s="37"/>
      <c r="J19" s="36"/>
      <c r="K19" s="39"/>
      <c r="L19" s="40"/>
      <c r="M19" s="40"/>
      <c r="N19" s="30"/>
    </row>
    <row r="20" spans="2:14" x14ac:dyDescent="0.3">
      <c r="B20" s="110" t="s">
        <v>18</v>
      </c>
      <c r="C20" s="110"/>
      <c r="D20" s="37"/>
      <c r="E20" s="38">
        <f>4730.4/10.764</f>
        <v>439.46488294314378</v>
      </c>
      <c r="F20" s="38"/>
      <c r="G20" s="40"/>
      <c r="H20" s="30"/>
      <c r="I20" s="37"/>
      <c r="J20" s="36"/>
      <c r="K20" s="39"/>
      <c r="L20" s="40"/>
      <c r="M20" s="40"/>
      <c r="N20" s="30"/>
    </row>
    <row r="21" spans="2:14" x14ac:dyDescent="0.3">
      <c r="B21" s="5" t="s">
        <v>19</v>
      </c>
      <c r="C21" s="41">
        <v>0</v>
      </c>
      <c r="D21" s="37"/>
      <c r="E21" s="38"/>
      <c r="F21" s="38"/>
      <c r="G21" s="38"/>
      <c r="H21" s="30"/>
      <c r="I21" s="37"/>
      <c r="J21" s="36"/>
      <c r="K21" s="39"/>
      <c r="L21" s="40"/>
      <c r="M21" s="40"/>
      <c r="N21" s="30"/>
    </row>
    <row r="22" spans="2:14" x14ac:dyDescent="0.3">
      <c r="B22" s="42" t="s">
        <v>2</v>
      </c>
      <c r="C22" s="11">
        <v>0</v>
      </c>
      <c r="D22" s="37"/>
      <c r="E22" s="38">
        <f>8835.6+4730.4</f>
        <v>13566</v>
      </c>
      <c r="F22" s="38"/>
      <c r="G22" s="38"/>
      <c r="H22" s="30"/>
      <c r="I22" s="37"/>
      <c r="J22" s="36"/>
      <c r="K22" s="39"/>
      <c r="L22" s="40"/>
      <c r="M22" s="40"/>
      <c r="N22" s="30"/>
    </row>
    <row r="23" spans="2:14" x14ac:dyDescent="0.3">
      <c r="B23" s="42" t="s">
        <v>20</v>
      </c>
      <c r="C23" s="43">
        <f>ROUND((C21*C22),0)</f>
        <v>0</v>
      </c>
      <c r="D23" s="37"/>
      <c r="E23" s="38">
        <f>E22/10.764</f>
        <v>1260.3121516164995</v>
      </c>
      <c r="F23" s="38"/>
      <c r="G23" s="38"/>
      <c r="H23" s="30"/>
      <c r="I23" s="37"/>
      <c r="J23" s="36"/>
      <c r="K23" s="39"/>
      <c r="L23" s="40"/>
      <c r="M23" s="40"/>
      <c r="N23" s="30"/>
    </row>
    <row r="24" spans="2:14" x14ac:dyDescent="0.3">
      <c r="B24" s="34"/>
      <c r="C24" s="37"/>
      <c r="D24" s="37"/>
      <c r="E24" s="38"/>
      <c r="F24" s="38"/>
      <c r="G24" s="38"/>
      <c r="H24" s="30"/>
      <c r="I24" s="37"/>
      <c r="J24" s="36"/>
      <c r="K24" s="39"/>
      <c r="L24" s="40"/>
      <c r="M24" s="40"/>
      <c r="N24" s="30"/>
    </row>
    <row r="25" spans="2:14" ht="22.5" customHeight="1" x14ac:dyDescent="0.3">
      <c r="B25" s="111" t="s">
        <v>21</v>
      </c>
      <c r="C25" s="112"/>
      <c r="D25" s="37"/>
      <c r="E25" s="38"/>
      <c r="F25" s="38"/>
      <c r="G25" s="38"/>
      <c r="H25" s="30"/>
      <c r="I25" s="37"/>
      <c r="J25" s="30"/>
      <c r="K25" s="37"/>
      <c r="L25" s="30"/>
      <c r="M25" s="30"/>
      <c r="N25" s="30"/>
    </row>
    <row r="26" spans="2:14" x14ac:dyDescent="0.3">
      <c r="B26" s="5" t="s">
        <v>22</v>
      </c>
      <c r="C26" s="41">
        <v>1251.8900000000001</v>
      </c>
      <c r="E26" s="44"/>
      <c r="F26" s="44"/>
      <c r="G26" s="45"/>
      <c r="H26" s="46"/>
      <c r="K26" s="47"/>
    </row>
    <row r="27" spans="2:14" x14ac:dyDescent="0.3">
      <c r="B27" s="42" t="s">
        <v>2</v>
      </c>
      <c r="C27" s="11">
        <v>1000</v>
      </c>
      <c r="D27" s="48"/>
      <c r="E27" s="18"/>
      <c r="F27" s="18"/>
      <c r="G27" s="40"/>
      <c r="H27" s="46"/>
      <c r="K27" s="47"/>
    </row>
    <row r="28" spans="2:14" x14ac:dyDescent="0.3">
      <c r="B28" s="42" t="s">
        <v>20</v>
      </c>
      <c r="C28" s="43">
        <v>2000000</v>
      </c>
      <c r="D28" s="49"/>
      <c r="E28" s="50"/>
      <c r="F28" s="51"/>
      <c r="G28" s="52"/>
      <c r="H28" s="46"/>
      <c r="K28" s="47"/>
    </row>
    <row r="29" spans="2:14" x14ac:dyDescent="0.3">
      <c r="B29" s="1"/>
      <c r="C29" s="52"/>
      <c r="D29" s="49"/>
      <c r="E29" s="50"/>
      <c r="F29" s="51"/>
      <c r="G29" s="18"/>
      <c r="H29" s="46"/>
      <c r="K29" s="47"/>
    </row>
    <row r="30" spans="2:14" x14ac:dyDescent="0.3">
      <c r="C30" s="50" t="s">
        <v>23</v>
      </c>
      <c r="D30" s="72" t="s">
        <v>24</v>
      </c>
      <c r="E30" s="50"/>
      <c r="F30" s="51"/>
      <c r="G30" s="18"/>
      <c r="H30" s="46"/>
      <c r="K30" s="47"/>
    </row>
    <row r="31" spans="2:14" x14ac:dyDescent="0.3">
      <c r="B31" s="53" t="s">
        <v>0</v>
      </c>
      <c r="C31" s="83">
        <f>C4</f>
        <v>37560000</v>
      </c>
      <c r="D31" s="73">
        <v>34400000</v>
      </c>
      <c r="E31" s="54"/>
      <c r="F31" s="54"/>
      <c r="G31" s="54"/>
      <c r="H31" s="55"/>
      <c r="K31" s="56"/>
    </row>
    <row r="32" spans="2:14" x14ac:dyDescent="0.3">
      <c r="B32" s="53" t="s">
        <v>4</v>
      </c>
      <c r="C32" s="83">
        <f>L17</f>
        <v>24597103</v>
      </c>
      <c r="D32" s="73">
        <v>27800000</v>
      </c>
      <c r="E32" s="54"/>
      <c r="F32" s="54"/>
      <c r="G32" s="54"/>
      <c r="H32" s="55"/>
      <c r="K32" s="55"/>
    </row>
    <row r="33" spans="2:13" ht="21" customHeight="1" x14ac:dyDescent="0.3">
      <c r="B33" s="53" t="s">
        <v>42</v>
      </c>
      <c r="C33" s="83">
        <f>C23</f>
        <v>0</v>
      </c>
      <c r="D33" s="73">
        <f>C33</f>
        <v>0</v>
      </c>
      <c r="E33" s="54"/>
      <c r="F33" s="54"/>
      <c r="G33" s="54"/>
      <c r="H33" s="55"/>
      <c r="K33" s="55"/>
    </row>
    <row r="34" spans="2:13" x14ac:dyDescent="0.3">
      <c r="B34" s="53" t="s">
        <v>25</v>
      </c>
      <c r="C34" s="83">
        <f>C28</f>
        <v>2000000</v>
      </c>
      <c r="D34" s="73">
        <v>1600000</v>
      </c>
      <c r="E34" s="54"/>
      <c r="F34" s="54"/>
      <c r="G34" s="54"/>
      <c r="H34" s="55"/>
      <c r="K34" s="55"/>
    </row>
    <row r="35" spans="2:13" x14ac:dyDescent="0.3">
      <c r="B35" s="2" t="s">
        <v>26</v>
      </c>
      <c r="C35" s="84">
        <f>C31+C32+C33+C34</f>
        <v>64157103</v>
      </c>
      <c r="D35" s="73">
        <f>SUM(D31:D34)</f>
        <v>63800000</v>
      </c>
      <c r="E35" s="4"/>
      <c r="F35" s="56"/>
    </row>
    <row r="36" spans="2:13" x14ac:dyDescent="0.3">
      <c r="B36" s="2" t="s">
        <v>27</v>
      </c>
      <c r="C36" s="84">
        <f>ROUND((C35*0.9),0)</f>
        <v>57741393</v>
      </c>
      <c r="D36" s="74">
        <f>ROUND((D35*0.9),0)</f>
        <v>57420000</v>
      </c>
      <c r="E36" s="4"/>
      <c r="F36" s="56"/>
      <c r="H36" s="57"/>
    </row>
    <row r="37" spans="2:13" hidden="1" x14ac:dyDescent="0.3">
      <c r="B37" s="58" t="s">
        <v>20</v>
      </c>
      <c r="C37" s="83">
        <f>C35*0.8</f>
        <v>51325682.400000006</v>
      </c>
      <c r="D37" s="75"/>
      <c r="E37" s="4"/>
      <c r="F37" s="56"/>
    </row>
    <row r="38" spans="2:13" hidden="1" x14ac:dyDescent="0.3">
      <c r="B38" s="60"/>
      <c r="C38" s="83">
        <f>ROUNDUP(C37,0)</f>
        <v>51325683</v>
      </c>
      <c r="D38" s="75"/>
      <c r="E38" s="4"/>
      <c r="F38" s="56"/>
    </row>
    <row r="39" spans="2:13" hidden="1" x14ac:dyDescent="0.3">
      <c r="B39" s="60"/>
      <c r="C39" s="83">
        <f>C38-C37</f>
        <v>0.59999999403953552</v>
      </c>
      <c r="D39" s="75"/>
      <c r="E39" s="4"/>
      <c r="F39" s="56"/>
    </row>
    <row r="40" spans="2:13" x14ac:dyDescent="0.3">
      <c r="B40" s="2" t="s">
        <v>28</v>
      </c>
      <c r="C40" s="84">
        <f>ROUND((C35*0.8),0)</f>
        <v>51325682</v>
      </c>
      <c r="D40" s="74">
        <f>ROUND((D35*0.8),0)</f>
        <v>51040000</v>
      </c>
      <c r="E40" s="4"/>
      <c r="F40" s="56"/>
      <c r="H40" s="57"/>
    </row>
    <row r="41" spans="2:13" hidden="1" x14ac:dyDescent="0.3">
      <c r="B41" s="4" t="s">
        <v>20</v>
      </c>
      <c r="C41" s="84" t="e">
        <f>#REF!</f>
        <v>#REF!</v>
      </c>
      <c r="D41" s="75"/>
      <c r="E41" s="4"/>
      <c r="F41" s="56"/>
    </row>
    <row r="42" spans="2:13" hidden="1" x14ac:dyDescent="0.3">
      <c r="B42" s="58"/>
      <c r="C42" s="83" t="e">
        <f>ROUNDUP(C41,0)</f>
        <v>#REF!</v>
      </c>
      <c r="D42" s="75"/>
      <c r="E42" s="4"/>
    </row>
    <row r="43" spans="2:13" hidden="1" x14ac:dyDescent="0.3">
      <c r="B43" s="58"/>
      <c r="C43" s="83" t="e">
        <f>C42-C41</f>
        <v>#REF!</v>
      </c>
      <c r="D43" s="75"/>
      <c r="E43" s="4"/>
    </row>
    <row r="44" spans="2:13" x14ac:dyDescent="0.3">
      <c r="B44" s="2" t="s">
        <v>29</v>
      </c>
      <c r="C44" s="84">
        <f>C32*0.85</f>
        <v>20907537.550000001</v>
      </c>
      <c r="D44" s="76">
        <v>34400000</v>
      </c>
      <c r="E44" s="4"/>
      <c r="M44" s="61"/>
    </row>
    <row r="45" spans="2:13" x14ac:dyDescent="0.3">
      <c r="B45" s="53" t="s">
        <v>30</v>
      </c>
      <c r="C45" s="83">
        <f>D4+C32</f>
        <v>38722793</v>
      </c>
      <c r="D45" s="76">
        <f>5753*3895</f>
        <v>22407935</v>
      </c>
      <c r="E45" s="4"/>
      <c r="M45" s="61"/>
    </row>
    <row r="46" spans="2:13" x14ac:dyDescent="0.3">
      <c r="D46" s="77"/>
      <c r="E46" s="4"/>
      <c r="F46" s="18"/>
      <c r="G46" s="18"/>
      <c r="H46" s="18"/>
      <c r="M46" s="61"/>
    </row>
    <row r="47" spans="2:13" x14ac:dyDescent="0.3">
      <c r="D47" s="77"/>
      <c r="E47" s="4"/>
      <c r="F47" s="18"/>
      <c r="G47" s="18"/>
      <c r="H47" s="18"/>
      <c r="K47" s="62"/>
      <c r="M47" s="61"/>
    </row>
    <row r="48" spans="2:13" x14ac:dyDescent="0.3">
      <c r="D48" s="77"/>
      <c r="E48" s="4"/>
      <c r="H48" s="18"/>
      <c r="K48" s="62"/>
      <c r="M48" s="61"/>
    </row>
    <row r="49" spans="3:13" x14ac:dyDescent="0.3">
      <c r="D49" s="4"/>
      <c r="E49" s="4"/>
      <c r="H49" s="59"/>
      <c r="K49" s="62"/>
      <c r="M49" s="61"/>
    </row>
    <row r="50" spans="3:13" x14ac:dyDescent="0.3">
      <c r="D50" s="4"/>
      <c r="E50" s="4"/>
      <c r="H50" s="18"/>
      <c r="K50" s="62"/>
      <c r="M50" s="61"/>
    </row>
    <row r="51" spans="3:13" x14ac:dyDescent="0.3">
      <c r="D51" s="4"/>
      <c r="E51" s="4"/>
      <c r="H51" s="18"/>
      <c r="K51" s="62"/>
      <c r="M51" s="61"/>
    </row>
    <row r="52" spans="3:13" x14ac:dyDescent="0.3">
      <c r="D52" s="4"/>
      <c r="E52" s="4"/>
      <c r="H52" s="18"/>
      <c r="K52" s="62"/>
      <c r="M52" s="61"/>
    </row>
    <row r="53" spans="3:13" x14ac:dyDescent="0.3">
      <c r="E53" s="18"/>
      <c r="F53" s="18"/>
      <c r="G53" s="18"/>
      <c r="H53" s="18"/>
      <c r="K53" s="62"/>
      <c r="M53" s="61"/>
    </row>
    <row r="54" spans="3:13" x14ac:dyDescent="0.3">
      <c r="E54" s="18"/>
      <c r="F54" s="18"/>
      <c r="G54" s="18"/>
      <c r="H54" s="18"/>
    </row>
    <row r="55" spans="3:13" x14ac:dyDescent="0.3">
      <c r="E55" s="18"/>
      <c r="F55" s="18"/>
      <c r="G55" s="18"/>
      <c r="H55" s="18"/>
    </row>
    <row r="58" spans="3:13" x14ac:dyDescent="0.3">
      <c r="C58" s="3" t="s">
        <v>71</v>
      </c>
    </row>
    <row r="59" spans="3:13" x14ac:dyDescent="0.3">
      <c r="C59" s="3" t="s">
        <v>69</v>
      </c>
      <c r="E59" s="3" t="s">
        <v>70</v>
      </c>
    </row>
    <row r="60" spans="3:13" x14ac:dyDescent="0.3">
      <c r="C60" s="104" t="s">
        <v>68</v>
      </c>
      <c r="D60" s="104" t="s">
        <v>19</v>
      </c>
      <c r="E60" s="104" t="s">
        <v>68</v>
      </c>
      <c r="F60" s="104" t="s">
        <v>19</v>
      </c>
    </row>
    <row r="61" spans="3:13" x14ac:dyDescent="0.3">
      <c r="C61" s="105">
        <v>7363</v>
      </c>
      <c r="D61" s="106">
        <f>C61*1.2</f>
        <v>8835.6</v>
      </c>
      <c r="E61" s="107">
        <f>C61/10.764</f>
        <v>684.03939056112972</v>
      </c>
      <c r="F61" s="108">
        <f>D61/10.764</f>
        <v>820.84726867335576</v>
      </c>
    </row>
    <row r="62" spans="3:13" x14ac:dyDescent="0.3">
      <c r="C62" s="105">
        <v>3942</v>
      </c>
      <c r="D62" s="106">
        <f t="shared" ref="D62:D66" si="7">C62*1.2</f>
        <v>4730.3999999999996</v>
      </c>
      <c r="E62" s="107">
        <f t="shared" ref="E62:E67" si="8">C62/10.764</f>
        <v>366.2207357859532</v>
      </c>
      <c r="F62" s="108">
        <f t="shared" ref="F62:F66" si="9">D62/10.764</f>
        <v>439.46488294314378</v>
      </c>
      <c r="I62" s="4" t="s">
        <v>45</v>
      </c>
      <c r="J62" s="4">
        <v>75</v>
      </c>
      <c r="K62" s="4">
        <v>20</v>
      </c>
      <c r="L62" s="3">
        <f>J62*K62</f>
        <v>1500</v>
      </c>
      <c r="M62" s="4">
        <v>1530</v>
      </c>
    </row>
    <row r="63" spans="3:13" x14ac:dyDescent="0.3">
      <c r="C63" s="105">
        <v>3942</v>
      </c>
      <c r="D63" s="106">
        <f t="shared" si="7"/>
        <v>4730.3999999999996</v>
      </c>
      <c r="E63" s="107">
        <f t="shared" si="8"/>
        <v>366.2207357859532</v>
      </c>
      <c r="F63" s="108">
        <f t="shared" si="9"/>
        <v>439.46488294314378</v>
      </c>
      <c r="I63" s="4" t="s">
        <v>46</v>
      </c>
      <c r="J63" s="4">
        <v>78</v>
      </c>
      <c r="K63" s="4">
        <v>20</v>
      </c>
      <c r="L63" s="3">
        <f>J63*K63</f>
        <v>1560</v>
      </c>
      <c r="M63" s="4">
        <v>1600</v>
      </c>
    </row>
    <row r="64" spans="3:13" x14ac:dyDescent="0.3">
      <c r="C64" s="105">
        <v>1140</v>
      </c>
      <c r="D64" s="106">
        <f>C64*1.2</f>
        <v>1368</v>
      </c>
      <c r="E64" s="107">
        <f>C64/10.764</f>
        <v>105.90858416945375</v>
      </c>
      <c r="F64" s="108">
        <f>D64/10.764</f>
        <v>127.09030100334449</v>
      </c>
      <c r="I64" s="4"/>
      <c r="K64" s="4"/>
      <c r="L64" s="3">
        <f>SUM(L62:L63)</f>
        <v>3060</v>
      </c>
      <c r="M64" s="4">
        <f>SUM(M62:M63)</f>
        <v>3130</v>
      </c>
    </row>
    <row r="65" spans="3:21" x14ac:dyDescent="0.3">
      <c r="C65" s="105">
        <v>1252</v>
      </c>
      <c r="D65" s="106">
        <f>C65*1.2</f>
        <v>1502.3999999999999</v>
      </c>
      <c r="E65" s="107">
        <f>C65/10.764</f>
        <v>116.3136380527685</v>
      </c>
      <c r="F65" s="108">
        <f>D65/10.764</f>
        <v>139.57636566332218</v>
      </c>
      <c r="G65" s="63"/>
      <c r="H65" s="63"/>
      <c r="I65" s="2"/>
    </row>
    <row r="66" spans="3:21" x14ac:dyDescent="0.3">
      <c r="C66" s="105">
        <v>11391</v>
      </c>
      <c r="D66" s="106">
        <f>C66*1.2</f>
        <v>13669.199999999999</v>
      </c>
      <c r="E66" s="107">
        <f>C66/10.764</f>
        <v>1058.2497212931996</v>
      </c>
      <c r="F66" s="108">
        <f>D66/10.764</f>
        <v>1269.8996655518395</v>
      </c>
      <c r="G66" s="3"/>
      <c r="H66" s="61"/>
      <c r="L66" s="4">
        <v>8835.6</v>
      </c>
    </row>
    <row r="67" spans="3:21" x14ac:dyDescent="0.3">
      <c r="C67" s="106">
        <f>SUM(C61:C66)</f>
        <v>29030</v>
      </c>
      <c r="D67" s="106">
        <f>SUM(D61:D66)</f>
        <v>34836</v>
      </c>
      <c r="E67" s="107">
        <f>C67/10.764</f>
        <v>2696.9528056484578</v>
      </c>
      <c r="F67" s="109">
        <f>SUM(F61:F66)</f>
        <v>3236.3433667781492</v>
      </c>
      <c r="G67" s="61"/>
      <c r="H67" s="64"/>
      <c r="L67" s="4">
        <v>4730.3999999999996</v>
      </c>
    </row>
    <row r="68" spans="3:21" x14ac:dyDescent="0.3">
      <c r="G68" s="61"/>
      <c r="H68" s="61"/>
      <c r="L68" s="4">
        <v>4730.3999999999996</v>
      </c>
    </row>
    <row r="69" spans="3:21" x14ac:dyDescent="0.3">
      <c r="G69" s="65"/>
      <c r="H69" s="61"/>
      <c r="L69" s="4">
        <v>1368</v>
      </c>
    </row>
    <row r="70" spans="3:21" x14ac:dyDescent="0.3">
      <c r="F70" s="61"/>
      <c r="G70" s="61"/>
      <c r="H70" s="61"/>
      <c r="L70" s="4">
        <v>1502.4</v>
      </c>
    </row>
    <row r="71" spans="3:21" x14ac:dyDescent="0.3">
      <c r="F71" s="61"/>
      <c r="G71" s="61"/>
      <c r="H71" s="61"/>
      <c r="L71" s="4">
        <v>154</v>
      </c>
    </row>
    <row r="72" spans="3:21" x14ac:dyDescent="0.3">
      <c r="F72" s="61"/>
      <c r="G72" s="61"/>
      <c r="H72" s="61"/>
      <c r="L72" s="4">
        <v>154</v>
      </c>
    </row>
    <row r="73" spans="3:21" x14ac:dyDescent="0.3">
      <c r="F73" s="61"/>
      <c r="G73" s="61"/>
      <c r="H73" s="61"/>
      <c r="L73" s="4">
        <f>SUM(L66:L72)</f>
        <v>21474.800000000003</v>
      </c>
    </row>
    <row r="74" spans="3:21" x14ac:dyDescent="0.3">
      <c r="F74" s="61"/>
      <c r="G74" s="61"/>
      <c r="H74" s="61"/>
      <c r="L74" s="4">
        <f>L73/10.764</f>
        <v>1995.0575994054259</v>
      </c>
    </row>
    <row r="75" spans="3:21" x14ac:dyDescent="0.3">
      <c r="F75" s="61"/>
      <c r="G75" s="61"/>
      <c r="H75" s="61"/>
    </row>
    <row r="77" spans="3:21" x14ac:dyDescent="0.3">
      <c r="F77" s="4">
        <v>101.91</v>
      </c>
    </row>
    <row r="78" spans="3:21" x14ac:dyDescent="0.3">
      <c r="F78" s="4">
        <v>106.15</v>
      </c>
    </row>
    <row r="79" spans="3:21" x14ac:dyDescent="0.3">
      <c r="F79" s="4">
        <v>49.53</v>
      </c>
      <c r="K79" s="3" t="s">
        <v>67</v>
      </c>
      <c r="Q79" s="3" t="s">
        <v>64</v>
      </c>
      <c r="R79" s="3">
        <v>394.54</v>
      </c>
      <c r="S79" s="3">
        <f>R79*1.2</f>
        <v>473.44799999999998</v>
      </c>
      <c r="U79" s="3">
        <f>R79*10.764</f>
        <v>4246.8285599999999</v>
      </c>
    </row>
    <row r="80" spans="3:21" x14ac:dyDescent="0.3">
      <c r="F80" s="4">
        <v>8.7430000000000003</v>
      </c>
      <c r="J80" s="4">
        <v>1</v>
      </c>
      <c r="K80" s="3">
        <v>273.72000000000003</v>
      </c>
      <c r="Q80" s="3" t="s">
        <v>65</v>
      </c>
      <c r="R80" s="3">
        <v>697</v>
      </c>
      <c r="U80" s="3">
        <f>R80*10.764</f>
        <v>7502.5079999999998</v>
      </c>
    </row>
    <row r="81" spans="4:19" x14ac:dyDescent="0.3">
      <c r="F81" s="66">
        <f>SUM(F77:F80)</f>
        <v>266.33300000000003</v>
      </c>
      <c r="J81" s="4">
        <v>2</v>
      </c>
      <c r="K81" s="3">
        <v>409.67</v>
      </c>
      <c r="Q81" s="3" t="s">
        <v>66</v>
      </c>
      <c r="R81" s="3">
        <f>96.619+86.5+91.123+28.315+186.75+8.743</f>
        <v>498.05</v>
      </c>
      <c r="S81" s="3">
        <f>R81*1.2</f>
        <v>597.66</v>
      </c>
    </row>
    <row r="82" spans="4:19" x14ac:dyDescent="0.3">
      <c r="F82" s="66"/>
      <c r="J82" s="4">
        <v>3</v>
      </c>
      <c r="K82" s="3">
        <v>281.41000000000003</v>
      </c>
      <c r="Q82" s="3" t="s">
        <v>34</v>
      </c>
      <c r="R82" s="3">
        <f>101.91+106.15+49.53+8.743</f>
        <v>266.33300000000003</v>
      </c>
    </row>
    <row r="83" spans="4:19" x14ac:dyDescent="0.3">
      <c r="F83" s="66"/>
    </row>
    <row r="84" spans="4:19" x14ac:dyDescent="0.3">
      <c r="F84" s="66"/>
      <c r="R84" s="3">
        <f>R82*10.764</f>
        <v>2866.8084120000003</v>
      </c>
    </row>
    <row r="85" spans="4:19" ht="17.25" thickBot="1" x14ac:dyDescent="0.35">
      <c r="D85" s="89">
        <v>188.74</v>
      </c>
      <c r="F85" s="66"/>
    </row>
    <row r="86" spans="4:19" ht="17.25" thickBot="1" x14ac:dyDescent="0.35">
      <c r="D86" s="90">
        <v>1063.1500000000001</v>
      </c>
      <c r="F86" s="66"/>
      <c r="K86" s="3">
        <f>SUM(K80:K85)</f>
        <v>964.80000000000018</v>
      </c>
    </row>
    <row r="87" spans="4:19" x14ac:dyDescent="0.3">
      <c r="F87" s="66"/>
      <c r="K87" s="3">
        <f>K86*10.764</f>
        <v>10385.107200000002</v>
      </c>
    </row>
    <row r="88" spans="4:19" x14ac:dyDescent="0.3">
      <c r="F88" s="66"/>
    </row>
    <row r="89" spans="4:19" x14ac:dyDescent="0.3">
      <c r="F89" s="66"/>
    </row>
    <row r="90" spans="4:19" x14ac:dyDescent="0.3">
      <c r="F90" s="66"/>
    </row>
    <row r="91" spans="4:19" x14ac:dyDescent="0.3">
      <c r="K91" s="3">
        <v>45.23</v>
      </c>
      <c r="L91" s="4">
        <v>22.87</v>
      </c>
      <c r="M91" s="4">
        <f>K91*L91</f>
        <v>1034.4101000000001</v>
      </c>
      <c r="Q91" s="3">
        <f>8.16+15.85</f>
        <v>24.009999999999998</v>
      </c>
    </row>
    <row r="92" spans="4:19" x14ac:dyDescent="0.3">
      <c r="Q92" s="3">
        <v>7.7779999999999996</v>
      </c>
    </row>
    <row r="93" spans="4:19" x14ac:dyDescent="0.3">
      <c r="K93" s="3">
        <v>45.23</v>
      </c>
      <c r="Q93" s="3">
        <f>Q91*Q92</f>
        <v>186.74977999999999</v>
      </c>
    </row>
  </sheetData>
  <mergeCells count="2">
    <mergeCell ref="B20:C20"/>
    <mergeCell ref="B25:C2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B5BED-8E0A-4A9A-8EA6-9654B5D012D5}">
  <dimension ref="L14:Y15"/>
  <sheetViews>
    <sheetView workbookViewId="0">
      <selection activeCell="H36" sqref="H36"/>
    </sheetView>
  </sheetViews>
  <sheetFormatPr defaultRowHeight="15" x14ac:dyDescent="0.25"/>
  <cols>
    <col min="11" max="11" width="3" customWidth="1"/>
    <col min="12" max="12" width="11.5703125" customWidth="1"/>
  </cols>
  <sheetData>
    <row r="14" spans="12:25" x14ac:dyDescent="0.25">
      <c r="X14">
        <f>62400000/5200</f>
        <v>12000</v>
      </c>
      <c r="Y14" t="s">
        <v>41</v>
      </c>
    </row>
    <row r="15" spans="12:25" x14ac:dyDescent="0.25">
      <c r="L15">
        <f>120000000/12000</f>
        <v>10000</v>
      </c>
      <c r="M15" t="s">
        <v>41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B8BA-52AE-45A7-BFA4-27991510FF10}">
  <dimension ref="A1"/>
  <sheetViews>
    <sheetView workbookViewId="0">
      <selection activeCell="S35" sqref="S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74151-DBD9-4029-AB53-261CEE46FD8A}">
  <dimension ref="A1:N31"/>
  <sheetViews>
    <sheetView workbookViewId="0">
      <selection sqref="A1:XFD1048576"/>
    </sheetView>
  </sheetViews>
  <sheetFormatPr defaultRowHeight="15" x14ac:dyDescent="0.25"/>
  <cols>
    <col min="1" max="4" width="9.140625" style="93"/>
    <col min="5" max="5" width="21" style="93" customWidth="1"/>
    <col min="6" max="6" width="18.7109375" style="93" customWidth="1"/>
    <col min="7" max="7" width="19.85546875" style="93" customWidth="1"/>
    <col min="8" max="8" width="15.140625" style="93" customWidth="1"/>
    <col min="9" max="16384" width="9.140625" style="93"/>
  </cols>
  <sheetData>
    <row r="1" spans="1:14" s="37" customFormat="1" ht="66.75" thickBot="1" x14ac:dyDescent="0.3">
      <c r="A1" s="91"/>
      <c r="B1" s="34"/>
      <c r="E1" s="92" t="s">
        <v>47</v>
      </c>
      <c r="F1" s="93"/>
      <c r="G1" s="93"/>
      <c r="H1" s="93"/>
      <c r="J1" s="30"/>
      <c r="L1" s="30"/>
      <c r="M1" s="30"/>
      <c r="N1" s="30"/>
    </row>
    <row r="2" spans="1:14" s="37" customFormat="1" ht="17.25" thickBot="1" x14ac:dyDescent="0.3">
      <c r="A2" s="91"/>
      <c r="B2" s="34"/>
      <c r="E2" s="94" t="s">
        <v>48</v>
      </c>
      <c r="F2" s="95" t="s">
        <v>49</v>
      </c>
      <c r="G2" s="95" t="s">
        <v>50</v>
      </c>
      <c r="H2" s="95" t="s">
        <v>51</v>
      </c>
      <c r="J2" s="30"/>
      <c r="L2" s="30"/>
      <c r="M2" s="30"/>
      <c r="N2" s="30"/>
    </row>
    <row r="3" spans="1:14" s="37" customFormat="1" ht="17.25" thickBot="1" x14ac:dyDescent="0.3">
      <c r="A3" s="91"/>
      <c r="B3" s="34"/>
      <c r="E3" s="96">
        <v>1</v>
      </c>
      <c r="F3" s="97" t="s">
        <v>52</v>
      </c>
      <c r="G3" s="98">
        <v>267120</v>
      </c>
      <c r="H3" s="98">
        <f>MROUND(G3/100,1)</f>
        <v>2671</v>
      </c>
      <c r="J3" s="30"/>
      <c r="L3" s="30"/>
      <c r="M3" s="30"/>
      <c r="N3" s="30"/>
    </row>
    <row r="4" spans="1:14" s="37" customFormat="1" ht="17.25" thickBot="1" x14ac:dyDescent="0.3">
      <c r="A4" s="91"/>
      <c r="B4" s="34"/>
      <c r="E4" s="96">
        <v>2</v>
      </c>
      <c r="F4" s="97" t="s">
        <v>53</v>
      </c>
      <c r="G4" s="98"/>
      <c r="H4" s="98"/>
      <c r="J4" s="30"/>
      <c r="L4" s="30"/>
      <c r="M4" s="30"/>
      <c r="N4" s="30"/>
    </row>
    <row r="5" spans="1:14" s="37" customFormat="1" ht="17.25" thickBot="1" x14ac:dyDescent="0.3">
      <c r="A5" s="91"/>
      <c r="B5" s="34"/>
      <c r="E5" s="96">
        <v>3</v>
      </c>
      <c r="F5" s="97" t="s">
        <v>54</v>
      </c>
      <c r="G5" s="98"/>
      <c r="H5" s="98"/>
      <c r="J5" s="30"/>
      <c r="L5" s="30"/>
      <c r="M5" s="30"/>
      <c r="N5" s="30"/>
    </row>
    <row r="6" spans="1:14" s="37" customFormat="1" ht="17.25" thickBot="1" x14ac:dyDescent="0.3">
      <c r="A6" s="91"/>
      <c r="B6" s="34"/>
      <c r="E6" s="96">
        <v>4</v>
      </c>
      <c r="F6" s="97" t="s">
        <v>55</v>
      </c>
      <c r="G6" s="98"/>
      <c r="H6" s="98"/>
      <c r="J6" s="30"/>
      <c r="L6" s="30"/>
      <c r="M6" s="30"/>
      <c r="N6" s="30"/>
    </row>
    <row r="7" spans="1:14" s="37" customFormat="1" ht="17.25" thickBot="1" x14ac:dyDescent="0.3">
      <c r="A7" s="91"/>
      <c r="B7" s="34"/>
      <c r="E7" s="96">
        <v>5</v>
      </c>
      <c r="F7" s="97" t="s">
        <v>56</v>
      </c>
      <c r="G7" s="98"/>
      <c r="H7" s="98"/>
      <c r="J7" s="30"/>
      <c r="L7" s="30"/>
      <c r="M7" s="30"/>
      <c r="N7" s="30"/>
    </row>
    <row r="8" spans="1:14" s="37" customFormat="1" ht="17.25" thickBot="1" x14ac:dyDescent="0.3">
      <c r="A8" s="91"/>
      <c r="B8" s="34"/>
      <c r="E8" s="96">
        <v>6</v>
      </c>
      <c r="F8" s="97" t="s">
        <v>57</v>
      </c>
      <c r="G8" s="98"/>
      <c r="H8" s="98"/>
      <c r="J8" s="30"/>
      <c r="L8" s="30"/>
      <c r="M8" s="30"/>
      <c r="N8" s="30"/>
    </row>
    <row r="9" spans="1:14" s="37" customFormat="1" ht="17.25" thickBot="1" x14ac:dyDescent="0.3">
      <c r="A9" s="91"/>
      <c r="B9" s="34"/>
      <c r="E9" s="96">
        <v>7</v>
      </c>
      <c r="F9" s="97" t="s">
        <v>58</v>
      </c>
      <c r="G9" s="98"/>
      <c r="H9" s="98"/>
      <c r="J9" s="30"/>
      <c r="L9" s="30"/>
      <c r="M9" s="30"/>
      <c r="N9" s="30"/>
    </row>
    <row r="10" spans="1:14" s="37" customFormat="1" ht="17.25" thickBot="1" x14ac:dyDescent="0.3">
      <c r="A10" s="91"/>
      <c r="B10" s="34"/>
      <c r="E10" s="96">
        <v>8</v>
      </c>
      <c r="F10" s="97" t="s">
        <v>59</v>
      </c>
      <c r="G10" s="98"/>
      <c r="H10" s="98"/>
      <c r="J10" s="30"/>
      <c r="L10" s="30"/>
      <c r="M10" s="30"/>
      <c r="N10" s="30"/>
    </row>
    <row r="11" spans="1:14" s="37" customFormat="1" ht="17.25" thickBot="1" x14ac:dyDescent="0.3">
      <c r="A11" s="91"/>
      <c r="B11" s="34"/>
      <c r="E11" s="96">
        <v>9</v>
      </c>
      <c r="F11" s="97" t="s">
        <v>60</v>
      </c>
      <c r="G11" s="98"/>
      <c r="H11" s="98"/>
      <c r="J11" s="30"/>
      <c r="L11" s="30"/>
      <c r="M11" s="30"/>
      <c r="N11" s="30"/>
    </row>
    <row r="12" spans="1:14" s="37" customFormat="1" ht="17.25" thickBot="1" x14ac:dyDescent="0.3">
      <c r="A12" s="91"/>
      <c r="B12" s="34"/>
      <c r="E12" s="96">
        <v>10</v>
      </c>
      <c r="F12" s="97" t="s">
        <v>61</v>
      </c>
      <c r="G12" s="99"/>
      <c r="H12" s="99"/>
      <c r="J12" s="30"/>
      <c r="L12" s="30"/>
      <c r="M12" s="30"/>
      <c r="N12" s="30"/>
    </row>
    <row r="13" spans="1:14" s="37" customFormat="1" ht="16.5" x14ac:dyDescent="0.25">
      <c r="A13" s="91"/>
      <c r="B13" s="34"/>
      <c r="F13" s="30"/>
      <c r="G13" s="30"/>
      <c r="H13" s="30"/>
      <c r="J13" s="30"/>
      <c r="L13" s="30"/>
      <c r="M13" s="30"/>
      <c r="N13" s="30"/>
    </row>
    <row r="14" spans="1:14" s="37" customFormat="1" ht="16.5" x14ac:dyDescent="0.25">
      <c r="A14" s="91"/>
      <c r="B14" s="34"/>
      <c r="E14" s="100" t="s">
        <v>62</v>
      </c>
      <c r="F14" s="100" t="s">
        <v>63</v>
      </c>
      <c r="G14" s="101" t="s">
        <v>50</v>
      </c>
      <c r="H14" s="101" t="s">
        <v>51</v>
      </c>
      <c r="J14" s="30"/>
      <c r="L14" s="30"/>
      <c r="M14" s="30"/>
      <c r="N14" s="30"/>
    </row>
    <row r="15" spans="1:14" s="37" customFormat="1" ht="16.5" x14ac:dyDescent="0.25">
      <c r="A15" s="91"/>
      <c r="B15" s="34"/>
      <c r="E15" s="102">
        <v>1</v>
      </c>
      <c r="F15" s="102" t="s">
        <v>52</v>
      </c>
      <c r="G15" s="103">
        <v>267120</v>
      </c>
      <c r="H15" s="103">
        <f t="shared" ref="H15:H24" si="0">ROUND(G15/100,0)</f>
        <v>2671</v>
      </c>
      <c r="J15" s="30"/>
      <c r="L15" s="30"/>
      <c r="M15" s="30"/>
      <c r="N15" s="30"/>
    </row>
    <row r="16" spans="1:14" s="37" customFormat="1" ht="16.5" x14ac:dyDescent="0.25">
      <c r="A16" s="91"/>
      <c r="B16" s="34"/>
      <c r="E16" s="102">
        <v>2</v>
      </c>
      <c r="F16" s="102" t="s">
        <v>53</v>
      </c>
      <c r="G16" s="103">
        <f t="shared" ref="G16:G24" si="1">ROUND(G15*106%,0)</f>
        <v>283147</v>
      </c>
      <c r="H16" s="103">
        <f t="shared" si="0"/>
        <v>2831</v>
      </c>
      <c r="J16" s="30"/>
      <c r="L16" s="30"/>
      <c r="M16" s="30"/>
      <c r="N16" s="30"/>
    </row>
    <row r="17" spans="1:14" s="37" customFormat="1" ht="16.5" x14ac:dyDescent="0.25">
      <c r="A17" s="91"/>
      <c r="B17" s="34"/>
      <c r="E17" s="102">
        <v>3</v>
      </c>
      <c r="F17" s="102" t="s">
        <v>54</v>
      </c>
      <c r="G17" s="103">
        <f t="shared" si="1"/>
        <v>300136</v>
      </c>
      <c r="H17" s="103">
        <f t="shared" si="0"/>
        <v>3001</v>
      </c>
      <c r="J17" s="30"/>
      <c r="L17" s="30"/>
      <c r="M17" s="30"/>
      <c r="N17" s="30"/>
    </row>
    <row r="18" spans="1:14" s="37" customFormat="1" ht="16.5" x14ac:dyDescent="0.25">
      <c r="A18" s="91"/>
      <c r="B18" s="34"/>
      <c r="E18" s="102">
        <v>4</v>
      </c>
      <c r="F18" s="102" t="s">
        <v>55</v>
      </c>
      <c r="G18" s="103">
        <f t="shared" si="1"/>
        <v>318144</v>
      </c>
      <c r="H18" s="103">
        <f t="shared" si="0"/>
        <v>3181</v>
      </c>
      <c r="J18" s="30"/>
      <c r="L18" s="30"/>
      <c r="M18" s="30"/>
      <c r="N18" s="30"/>
    </row>
    <row r="19" spans="1:14" s="37" customFormat="1" ht="16.5" x14ac:dyDescent="0.25">
      <c r="A19" s="91"/>
      <c r="B19" s="34"/>
      <c r="E19" s="102">
        <v>5</v>
      </c>
      <c r="F19" s="102" t="s">
        <v>56</v>
      </c>
      <c r="G19" s="103">
        <f t="shared" si="1"/>
        <v>337233</v>
      </c>
      <c r="H19" s="103">
        <f t="shared" si="0"/>
        <v>3372</v>
      </c>
      <c r="J19" s="30"/>
      <c r="L19" s="30"/>
      <c r="M19" s="30"/>
      <c r="N19" s="30"/>
    </row>
    <row r="20" spans="1:14" s="37" customFormat="1" ht="16.5" x14ac:dyDescent="0.25">
      <c r="A20" s="91"/>
      <c r="B20" s="34"/>
      <c r="E20" s="102">
        <v>6</v>
      </c>
      <c r="F20" s="102" t="s">
        <v>57</v>
      </c>
      <c r="G20" s="103">
        <f t="shared" si="1"/>
        <v>357467</v>
      </c>
      <c r="H20" s="103">
        <f t="shared" si="0"/>
        <v>3575</v>
      </c>
      <c r="J20" s="30"/>
      <c r="L20" s="30"/>
      <c r="M20" s="30"/>
      <c r="N20" s="30"/>
    </row>
    <row r="21" spans="1:14" s="37" customFormat="1" ht="16.5" x14ac:dyDescent="0.25">
      <c r="A21" s="91"/>
      <c r="B21" s="34"/>
      <c r="E21" s="102">
        <v>7</v>
      </c>
      <c r="F21" s="102" t="s">
        <v>58</v>
      </c>
      <c r="G21" s="103">
        <f t="shared" si="1"/>
        <v>378915</v>
      </c>
      <c r="H21" s="103">
        <f t="shared" si="0"/>
        <v>3789</v>
      </c>
      <c r="J21" s="30"/>
      <c r="L21" s="30"/>
      <c r="M21" s="30"/>
      <c r="N21" s="30"/>
    </row>
    <row r="22" spans="1:14" s="37" customFormat="1" ht="16.5" x14ac:dyDescent="0.25">
      <c r="A22" s="91"/>
      <c r="B22" s="34"/>
      <c r="E22" s="102">
        <v>8</v>
      </c>
      <c r="F22" s="102" t="s">
        <v>59</v>
      </c>
      <c r="G22" s="103">
        <f t="shared" si="1"/>
        <v>401650</v>
      </c>
      <c r="H22" s="103">
        <f t="shared" si="0"/>
        <v>4017</v>
      </c>
      <c r="J22" s="30"/>
      <c r="L22" s="30"/>
      <c r="M22" s="30"/>
      <c r="N22" s="30"/>
    </row>
    <row r="23" spans="1:14" s="37" customFormat="1" ht="16.5" x14ac:dyDescent="0.25">
      <c r="A23" s="91"/>
      <c r="B23" s="34"/>
      <c r="E23" s="102">
        <v>9</v>
      </c>
      <c r="F23" s="102" t="s">
        <v>60</v>
      </c>
      <c r="G23" s="103">
        <f t="shared" si="1"/>
        <v>425749</v>
      </c>
      <c r="H23" s="103">
        <f t="shared" si="0"/>
        <v>4257</v>
      </c>
      <c r="J23" s="30"/>
      <c r="L23" s="30"/>
      <c r="M23" s="30"/>
      <c r="N23" s="30"/>
    </row>
    <row r="24" spans="1:14" s="37" customFormat="1" ht="16.5" x14ac:dyDescent="0.25">
      <c r="A24" s="91"/>
      <c r="B24" s="34"/>
      <c r="E24" s="102">
        <v>10</v>
      </c>
      <c r="F24" s="102" t="s">
        <v>61</v>
      </c>
      <c r="G24" s="103">
        <f t="shared" si="1"/>
        <v>451294</v>
      </c>
      <c r="H24" s="103">
        <f t="shared" si="0"/>
        <v>4513</v>
      </c>
      <c r="J24" s="30"/>
      <c r="L24" s="30"/>
      <c r="M24" s="30"/>
      <c r="N24" s="30"/>
    </row>
    <row r="25" spans="1:14" s="37" customFormat="1" ht="16.5" x14ac:dyDescent="0.25">
      <c r="A25" s="91"/>
      <c r="B25" s="34"/>
      <c r="F25" s="30"/>
      <c r="G25" s="30"/>
      <c r="H25" s="30"/>
      <c r="J25" s="30"/>
      <c r="L25" s="30"/>
      <c r="M25" s="30"/>
      <c r="N25" s="30"/>
    </row>
    <row r="26" spans="1:14" s="37" customFormat="1" ht="16.5" x14ac:dyDescent="0.25">
      <c r="A26" s="91"/>
      <c r="B26" s="34"/>
      <c r="F26" s="30"/>
      <c r="G26" s="30"/>
      <c r="H26" s="30"/>
      <c r="J26" s="30"/>
      <c r="L26" s="30"/>
      <c r="M26" s="30"/>
      <c r="N26" s="30"/>
    </row>
    <row r="27" spans="1:14" s="37" customFormat="1" ht="16.5" x14ac:dyDescent="0.25">
      <c r="A27" s="91"/>
      <c r="B27" s="34"/>
      <c r="F27" s="30"/>
      <c r="G27" s="30"/>
      <c r="H27" s="30"/>
      <c r="J27" s="30"/>
      <c r="L27" s="30"/>
      <c r="M27" s="30"/>
      <c r="N27" s="30"/>
    </row>
    <row r="28" spans="1:14" s="37" customFormat="1" ht="16.5" x14ac:dyDescent="0.25">
      <c r="A28" s="91"/>
      <c r="B28" s="34"/>
      <c r="F28" s="30"/>
      <c r="G28" s="30"/>
      <c r="H28" s="30"/>
      <c r="J28" s="30"/>
      <c r="L28" s="30"/>
      <c r="M28" s="30"/>
      <c r="N28" s="30"/>
    </row>
    <row r="29" spans="1:14" s="37" customFormat="1" ht="16.5" x14ac:dyDescent="0.25">
      <c r="A29" s="91"/>
      <c r="B29" s="34"/>
      <c r="F29" s="30"/>
      <c r="G29" s="30"/>
      <c r="H29" s="30"/>
      <c r="J29" s="30"/>
      <c r="L29" s="30"/>
      <c r="M29" s="30"/>
      <c r="N29" s="30"/>
    </row>
    <row r="30" spans="1:14" s="37" customFormat="1" ht="16.5" x14ac:dyDescent="0.25">
      <c r="A30" s="91"/>
      <c r="B30" s="34"/>
      <c r="F30" s="30"/>
      <c r="G30" s="30"/>
      <c r="H30" s="30"/>
      <c r="J30" s="30"/>
      <c r="L30" s="30"/>
      <c r="M30" s="30"/>
      <c r="N30" s="30"/>
    </row>
    <row r="31" spans="1:14" s="37" customFormat="1" ht="16.5" x14ac:dyDescent="0.25">
      <c r="A31" s="91"/>
      <c r="B31" s="34"/>
      <c r="F31" s="30"/>
      <c r="G31" s="30"/>
      <c r="H31" s="30"/>
      <c r="J31" s="30"/>
      <c r="L31" s="30"/>
      <c r="M31" s="30"/>
      <c r="N31" s="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Leebo Metals</vt:lpstr>
      <vt:lpstr>Final</vt:lpstr>
      <vt:lpstr>Sheet1</vt:lpstr>
      <vt:lpstr>Location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116-PC</dc:creator>
  <cp:lastModifiedBy>akhilesh Yadav</cp:lastModifiedBy>
  <dcterms:created xsi:type="dcterms:W3CDTF">2015-06-05T18:17:20Z</dcterms:created>
  <dcterms:modified xsi:type="dcterms:W3CDTF">2025-01-09T14:24:28Z</dcterms:modified>
</cp:coreProperties>
</file>