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Diamond Branch BKC\Pravinbhai Shah\"/>
    </mc:Choice>
  </mc:AlternateContent>
  <xr:revisionPtr revIDLastSave="0" documentId="13_ncr:1_{116CC2AD-5C9E-44A9-A9B2-F6ED4ECFAA59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6" i="23" l="1"/>
  <c r="B16" i="23"/>
  <c r="H28" i="4" l="1"/>
  <c r="N13" i="24" l="1"/>
  <c r="N14" i="24"/>
  <c r="N15" i="24"/>
  <c r="N16" i="24"/>
  <c r="N17" i="24"/>
  <c r="N18" i="24"/>
  <c r="N19" i="24"/>
  <c r="N20" i="24"/>
  <c r="N21" i="24"/>
  <c r="N22" i="24"/>
  <c r="N23" i="24"/>
  <c r="N24" i="24"/>
  <c r="N25" i="24"/>
  <c r="N26" i="24"/>
  <c r="N27" i="24"/>
  <c r="N28" i="24"/>
  <c r="N29" i="24"/>
  <c r="N30" i="24"/>
  <c r="N31" i="24"/>
  <c r="N12" i="24"/>
  <c r="N11" i="24"/>
  <c r="N10" i="24"/>
  <c r="N9" i="24"/>
  <c r="N8" i="24"/>
  <c r="N7" i="24"/>
  <c r="N6" i="24"/>
  <c r="N4" i="24"/>
  <c r="N3" i="24"/>
  <c r="N2" i="24"/>
  <c r="F19" i="23" l="1"/>
  <c r="C19" i="23"/>
  <c r="E84" i="23"/>
  <c r="E23" i="23"/>
  <c r="E19" i="23"/>
  <c r="E25" i="23" s="1"/>
  <c r="E7" i="23"/>
  <c r="E10" i="23" s="1"/>
  <c r="E11" i="23" s="1"/>
  <c r="E12" i="23" s="1"/>
  <c r="E13" i="23" s="1"/>
  <c r="E6" i="23"/>
  <c r="E5" i="23"/>
  <c r="E14" i="23" s="1"/>
  <c r="H32" i="4"/>
  <c r="G19" i="23" l="1"/>
  <c r="G21" i="23"/>
  <c r="G20" i="23"/>
  <c r="E8" i="23"/>
  <c r="G31" i="4"/>
  <c r="P4" i="4"/>
  <c r="P3" i="4"/>
  <c r="P2" i="4"/>
  <c r="D36" i="4"/>
  <c r="D35" i="4"/>
  <c r="D34" i="4"/>
  <c r="C12" i="25" l="1"/>
  <c r="C5" i="25" l="1"/>
  <c r="C4" i="25"/>
  <c r="C3" i="25"/>
  <c r="Q2" i="4"/>
  <c r="B2" i="4" s="1"/>
  <c r="C2" i="4" s="1"/>
  <c r="Q3" i="4"/>
  <c r="B3" i="4" s="1"/>
  <c r="C3" i="4" s="1"/>
  <c r="D3" i="4" s="1"/>
  <c r="Q4" i="4"/>
  <c r="B4" i="4" s="1"/>
  <c r="C4" i="4" s="1"/>
  <c r="D4" i="4" s="1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F7" i="24"/>
  <c r="H7" i="24" s="1"/>
  <c r="E7" i="24"/>
  <c r="G7" i="24" s="1"/>
  <c r="F6" i="24"/>
  <c r="H6" i="24" s="1"/>
  <c r="E6" i="24"/>
  <c r="G6" i="24" s="1"/>
  <c r="N5" i="24"/>
  <c r="N32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9" i="23" s="1"/>
  <c r="D19" i="23" s="1"/>
  <c r="D21" i="23" l="1"/>
  <c r="D20" i="23"/>
  <c r="B25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<sst xmlns="http://schemas.openxmlformats.org/spreadsheetml/2006/main" count="140" uniqueCount="93">
  <si>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</si>
  <si>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</si>
  <si>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</si>
  <si>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</si>
  <si>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</si>
  <si>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</si>
  <si>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</si>
  <si>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</si>
  <si>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</si>
  <si>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</si>
  <si>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</si>
  <si>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</si>
  <si>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</si>
  <si>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</si>
  <si>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</si>
  <si>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</si>
  <si>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</si>
  <si>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</si>
  <si>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</si>
  <si>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</si>
  <si>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</si>
  <si>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</si>
  <si>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</si>
  <si>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</si>
  <si>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</si>
  <si>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</si>
  <si>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</si>
  <si>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</si>
  <si>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</si>
  <si>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</si>
  <si>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</si>
  <si>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</si>
  <si>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</si>
  <si>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</si>
  <si>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</si>
  <si>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</si>
  <si>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</si>
  <si>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</si>
  <si>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</si>
  <si>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</si>
  <si>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</si>
  <si>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</si>
  <si>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</si>
  <si>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</si>
  <si>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</si>
  <si>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</si>
  <si>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</si>
  <si>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</si>
  <si>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</si>
  <si>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</si>
  <si>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</si>
  <si>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</si>
  <si>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</si>
  <si>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</si>
  <si>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</si>
  <si>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</si>
  <si>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</si>
  <si>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</si>
  <si>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</si>
  <si>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</si>
  <si>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</si>
  <si>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</si>
  <si>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</si>
  <si>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</si>
  <si>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</si>
  <si>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</si>
  <si>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</si>
  <si>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</si>
  <si>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</si>
  <si>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</si>
  <si>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</si>
  <si>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</si>
  <si>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</si>
  <si>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</si>
  <si>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</si>
  <si>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</si>
  <si>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</si>
  <si>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</si>
  <si>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</si>
  <si>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</si>
  <si>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</si>
  <si>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</si>
  <si>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</si>
  <si>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</si>
  <si>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PREV VAL - 2021</t>
  </si>
  <si>
    <t>BUA</t>
  </si>
  <si>
    <t>RATE</t>
  </si>
  <si>
    <t>09.12.2013</t>
  </si>
  <si>
    <t>IGR-25.10.2.4</t>
  </si>
  <si>
    <t>IGR-08.12.24</t>
  </si>
  <si>
    <t>IGR-25.01.24</t>
  </si>
  <si>
    <t xml:space="preserve">Flat No. 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</si>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</sst>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6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0" fontId="9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219075</xdr:colOff>
      <xdr:row>0</xdr:row>
      <xdr:rowOff>0</xdr:rowOff>
    </xdr:from>
    <xdr:to>
      <xdr:col>21</xdr:col>
      <xdr:colOff>95832</xdr:colOff>
      <xdr:row>38</xdr:row>
      <xdr:rowOff>48727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3E8F88-1229-475A-8B1B-088C896D1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39200" y="0"/>
          <a:ext cx="4172532" cy="7897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C4E42F-6FCD-4AAE-AF89-09CFECA10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810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B02BE2-F8C3-4D11-A7F1-0DF77FCE8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10839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52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B61358-3675-43DC-B21F-91595B7A8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10067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1191</xdr:colOff>
      <xdr:row>47</xdr:row>
      <xdr:rowOff>10703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0C6898-939D-4D15-8C6F-218C7458C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535591" cy="8440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44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CC49E5-F393-405F-B2FF-8C6E28301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459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76</v>
      </c>
      <c r="C3" s="44">
        <f>374860*0.85</f>
        <v>318631</v>
      </c>
      <c r="D3" s="34"/>
      <c r="E3" s="34"/>
      <c r="F3" s="34"/>
      <c r="H3" s="47" t="s">
        <v>37</v>
      </c>
      <c r="I3" s="47"/>
      <c r="J3" s="47" t="s">
        <v>38</v>
      </c>
      <c r="K3" s="47" t="s">
        <v>39</v>
      </c>
      <c r="L3" s="47" t="s">
        <v>40</v>
      </c>
    </row>
    <row r="4" spans="2:12" x14ac:dyDescent="0.25">
      <c r="B4" s="34" t="s">
        <v>82</v>
      </c>
      <c r="C4" s="44">
        <f>C3*10%</f>
        <v>31863.100000000002</v>
      </c>
      <c r="D4" s="34"/>
      <c r="E4" s="34"/>
      <c r="F4" s="34"/>
      <c r="H4" s="48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77</v>
      </c>
      <c r="C5" s="49">
        <f>C3+C4</f>
        <v>350494.1</v>
      </c>
      <c r="D5" s="50" t="s">
        <v>62</v>
      </c>
      <c r="E5" s="51">
        <f>C5/10.764</f>
        <v>32561.696395392046</v>
      </c>
      <c r="F5" s="50" t="s">
        <v>63</v>
      </c>
      <c r="H5" s="52" t="s">
        <v>44</v>
      </c>
      <c r="I5" s="48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78</v>
      </c>
      <c r="C6" s="44">
        <v>29400</v>
      </c>
      <c r="D6" s="34"/>
      <c r="E6" s="34"/>
      <c r="F6" s="34"/>
      <c r="H6" s="53" t="s">
        <v>46</v>
      </c>
      <c r="I6" s="48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79</v>
      </c>
      <c r="C7" s="44">
        <f>C5-C6</f>
        <v>321094.09999999998</v>
      </c>
      <c r="D7" s="34"/>
      <c r="E7" s="34"/>
      <c r="F7" s="34"/>
      <c r="H7" s="52" t="s">
        <v>50</v>
      </c>
      <c r="I7" s="48">
        <v>0.8</v>
      </c>
      <c r="J7" s="34"/>
      <c r="K7" s="52" t="s">
        <v>46</v>
      </c>
      <c r="L7" s="48">
        <v>0.05</v>
      </c>
    </row>
    <row r="8" spans="2:12" ht="30" x14ac:dyDescent="0.25">
      <c r="B8" s="54" t="s">
        <v>80</v>
      </c>
      <c r="C8" s="44">
        <f>C7*D13%</f>
        <v>321094.09999999998</v>
      </c>
      <c r="D8" s="34"/>
      <c r="E8" s="34"/>
      <c r="F8" s="34"/>
      <c r="H8" s="52" t="s">
        <v>51</v>
      </c>
      <c r="I8" s="48">
        <v>0.7</v>
      </c>
      <c r="J8" s="34"/>
      <c r="K8" s="55" t="s">
        <v>52</v>
      </c>
      <c r="L8" s="48">
        <v>0.1</v>
      </c>
    </row>
    <row r="9" spans="2:12" x14ac:dyDescent="0.25">
      <c r="B9" s="34" t="s">
        <v>81</v>
      </c>
      <c r="C9" s="49">
        <f>C6+C8</f>
        <v>350494.1</v>
      </c>
      <c r="D9" s="50" t="s">
        <v>62</v>
      </c>
      <c r="E9" s="51">
        <f>C9/10.764</f>
        <v>32561.696395392046</v>
      </c>
      <c r="F9" s="50" t="s">
        <v>63</v>
      </c>
      <c r="H9" s="52" t="s">
        <v>53</v>
      </c>
      <c r="I9" s="48">
        <v>0.6</v>
      </c>
      <c r="J9" s="34"/>
      <c r="K9" s="34" t="s">
        <v>54</v>
      </c>
      <c r="L9" s="48">
        <v>0.15</v>
      </c>
    </row>
    <row r="10" spans="2:12" x14ac:dyDescent="0.25">
      <c r="C10" s="56"/>
      <c r="H10" s="34" t="s">
        <v>55</v>
      </c>
      <c r="I10" s="48">
        <v>0.5</v>
      </c>
      <c r="J10" s="34"/>
      <c r="K10" s="34" t="s">
        <v>56</v>
      </c>
      <c r="L10" s="48">
        <v>0.2</v>
      </c>
    </row>
    <row r="11" spans="2:12" x14ac:dyDescent="0.25">
      <c r="B11" s="40" t="s">
        <v>68</v>
      </c>
      <c r="C11" s="58">
        <f>Calculation!C7</f>
        <v>2025</v>
      </c>
      <c r="H11" s="34" t="s">
        <v>57</v>
      </c>
      <c r="I11" s="48">
        <v>0.4</v>
      </c>
      <c r="J11" s="34"/>
      <c r="K11" s="34"/>
      <c r="L11" s="34"/>
    </row>
    <row r="12" spans="2:12" x14ac:dyDescent="0.25">
      <c r="B12" s="40" t="s">
        <v>69</v>
      </c>
      <c r="C12" s="58">
        <f>Calculation!C8</f>
        <v>2025</v>
      </c>
      <c r="D12" s="57">
        <v>100</v>
      </c>
      <c r="H12" s="34" t="s">
        <v>58</v>
      </c>
      <c r="I12" s="48">
        <v>0.3</v>
      </c>
      <c r="J12" s="34"/>
      <c r="K12" s="34"/>
      <c r="L12" s="34"/>
    </row>
    <row r="13" spans="2:12" x14ac:dyDescent="0.25">
      <c r="B13" s="40" t="s">
        <v>70</v>
      </c>
      <c r="C13" s="58">
        <f>C11-C12</f>
        <v>0</v>
      </c>
      <c r="D13" s="57">
        <f>D12-C13</f>
        <v>100</v>
      </c>
    </row>
    <row r="15" spans="2:12" x14ac:dyDescent="0.25">
      <c r="B15" s="34" t="s">
        <v>59</v>
      </c>
      <c r="C15" s="44">
        <v>93700</v>
      </c>
      <c r="D15" s="34"/>
      <c r="E15" s="34"/>
      <c r="F15" s="34"/>
    </row>
    <row r="16" spans="2:12" x14ac:dyDescent="0.25">
      <c r="B16" s="34" t="s">
        <v>60</v>
      </c>
      <c r="C16" s="44">
        <f>C15*5%</f>
        <v>4685</v>
      </c>
      <c r="D16" s="34"/>
      <c r="E16" s="34"/>
      <c r="F16" s="34"/>
    </row>
    <row r="17" spans="2:6" x14ac:dyDescent="0.25">
      <c r="B17" s="34" t="s">
        <v>61</v>
      </c>
      <c r="C17" s="49">
        <f>C15+C16</f>
        <v>98385</v>
      </c>
      <c r="D17" s="50" t="s">
        <v>62</v>
      </c>
      <c r="E17" s="51">
        <f>C17/10.764</f>
        <v>9140.1895206243044</v>
      </c>
      <c r="F17" s="50" t="s">
        <v>63</v>
      </c>
    </row>
    <row r="18" spans="2:6" x14ac:dyDescent="0.25">
      <c r="B18" s="34" t="s">
        <v>65</v>
      </c>
      <c r="C18" s="44">
        <v>26620</v>
      </c>
      <c r="D18" s="34"/>
      <c r="E18" s="34"/>
      <c r="F18" s="34"/>
    </row>
    <row r="19" spans="2:6" x14ac:dyDescent="0.25">
      <c r="B19" s="34" t="s">
        <v>66</v>
      </c>
      <c r="C19" s="44">
        <f>C17-C18</f>
        <v>71765</v>
      </c>
      <c r="D19" s="34"/>
      <c r="E19" s="34"/>
      <c r="F19" s="34"/>
    </row>
    <row r="20" spans="2:6" ht="45" x14ac:dyDescent="0.25">
      <c r="B20" s="54" t="s">
        <v>67</v>
      </c>
      <c r="C20" s="44">
        <f>C18*80%</f>
        <v>21296</v>
      </c>
      <c r="D20" s="34"/>
      <c r="E20" s="34"/>
      <c r="F20" s="34"/>
    </row>
    <row r="21" spans="2:6" x14ac:dyDescent="0.25">
      <c r="B21" s="34" t="s">
        <v>64</v>
      </c>
      <c r="C21" s="49">
        <f>C19+C20</f>
        <v>93061</v>
      </c>
      <c r="D21" s="50" t="s">
        <v>62</v>
      </c>
      <c r="E21" s="51">
        <f>C21/10.764</f>
        <v>8645.5778520995918</v>
      </c>
      <c r="F21" s="50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opLeftCell="A4" workbookViewId="0">
      <selection activeCell="Y19" sqref="Y19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8"/>
      <c r="L1" s="68"/>
      <c r="M1" s="68"/>
      <c r="N1" s="68"/>
      <c r="O1" s="68"/>
      <c r="P1" s="68"/>
      <c r="Q1" s="68"/>
      <c r="R1" s="68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>
        <v>9.8000000000000007</v>
      </c>
      <c r="M2" s="34">
        <v>4.0999999999999996</v>
      </c>
      <c r="N2" s="34">
        <f t="shared" ref="N2:N31" si="5">L2*M2</f>
        <v>40.18</v>
      </c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>
        <v>9.9</v>
      </c>
      <c r="M3" s="34">
        <v>3.08</v>
      </c>
      <c r="N3" s="34">
        <f t="shared" si="5"/>
        <v>30.492000000000001</v>
      </c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6">J3+I4</f>
        <v>0</v>
      </c>
      <c r="K4" s="34"/>
      <c r="L4" s="34">
        <v>4.9000000000000004</v>
      </c>
      <c r="M4" s="34">
        <v>4.7</v>
      </c>
      <c r="N4" s="34">
        <f t="shared" si="5"/>
        <v>23.03</v>
      </c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6"/>
        <v>0</v>
      </c>
      <c r="K5" s="34"/>
      <c r="L5" s="34">
        <v>13</v>
      </c>
      <c r="M5" s="34">
        <v>11</v>
      </c>
      <c r="N5" s="34">
        <f t="shared" ref="N5" si="7">L5*M5</f>
        <v>143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6"/>
        <v>0</v>
      </c>
      <c r="K6" s="34"/>
      <c r="L6" s="34">
        <v>10</v>
      </c>
      <c r="M6" s="34">
        <v>5</v>
      </c>
      <c r="N6" s="34">
        <f t="shared" si="5"/>
        <v>50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6"/>
        <v>0</v>
      </c>
      <c r="K7" s="34"/>
      <c r="L7" s="34">
        <v>18.5</v>
      </c>
      <c r="M7" s="34">
        <v>17.28</v>
      </c>
      <c r="N7" s="34">
        <f t="shared" si="5"/>
        <v>319.68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6"/>
        <v>0</v>
      </c>
      <c r="K8" s="34"/>
      <c r="L8" s="34">
        <v>15.5</v>
      </c>
      <c r="M8" s="34">
        <v>3.04</v>
      </c>
      <c r="N8" s="34">
        <f t="shared" si="5"/>
        <v>47.12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6"/>
        <v>0</v>
      </c>
      <c r="K9" s="34"/>
      <c r="L9" s="34">
        <v>10.73</v>
      </c>
      <c r="M9" s="34">
        <v>9.06</v>
      </c>
      <c r="N9" s="34">
        <f t="shared" si="5"/>
        <v>97.213800000000006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6"/>
        <v>0</v>
      </c>
      <c r="K10" s="34"/>
      <c r="L10" s="34">
        <v>6.3</v>
      </c>
      <c r="M10" s="34">
        <v>2.95</v>
      </c>
      <c r="N10" s="34">
        <f t="shared" si="5"/>
        <v>18.585000000000001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6"/>
        <v>0</v>
      </c>
      <c r="K11" s="34"/>
      <c r="L11" s="34">
        <v>4.7</v>
      </c>
      <c r="M11" s="34">
        <v>1.9</v>
      </c>
      <c r="N11" s="34">
        <f t="shared" si="5"/>
        <v>8.93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>
        <v>24.5</v>
      </c>
      <c r="M12" s="34">
        <v>5.5</v>
      </c>
      <c r="N12" s="34">
        <f t="shared" si="5"/>
        <v>134.75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6"/>
        <v>0</v>
      </c>
      <c r="K13" s="34"/>
      <c r="L13" s="34">
        <v>4.8600000000000003</v>
      </c>
      <c r="M13" s="34">
        <v>9.5</v>
      </c>
      <c r="N13" s="34">
        <f t="shared" si="5"/>
        <v>46.17</v>
      </c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6"/>
        <v>0</v>
      </c>
      <c r="K14" s="34"/>
      <c r="L14" s="34">
        <v>3.2</v>
      </c>
      <c r="M14" s="34">
        <v>2.4</v>
      </c>
      <c r="N14" s="34">
        <f t="shared" si="5"/>
        <v>7.68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6"/>
        <v>0</v>
      </c>
      <c r="K15" s="34"/>
      <c r="L15" s="34">
        <v>5.8</v>
      </c>
      <c r="M15" s="34">
        <v>4.2699999999999996</v>
      </c>
      <c r="N15" s="34">
        <f t="shared" si="5"/>
        <v>24.765999999999998</v>
      </c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6"/>
        <v>0</v>
      </c>
      <c r="K16" s="34"/>
      <c r="L16" s="34">
        <v>10.6</v>
      </c>
      <c r="M16" s="34">
        <v>8.5</v>
      </c>
      <c r="N16" s="34">
        <f t="shared" si="5"/>
        <v>90.1</v>
      </c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6"/>
        <v>0</v>
      </c>
      <c r="K17" s="34"/>
      <c r="L17" s="34">
        <v>10.199999999999999</v>
      </c>
      <c r="M17" s="34">
        <v>5.5</v>
      </c>
      <c r="N17" s="34">
        <f t="shared" si="5"/>
        <v>56.099999999999994</v>
      </c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6"/>
        <v>0</v>
      </c>
      <c r="K18" s="34"/>
      <c r="L18" s="34">
        <v>4.4000000000000004</v>
      </c>
      <c r="M18" s="34">
        <v>4.8</v>
      </c>
      <c r="N18" s="34">
        <f t="shared" si="5"/>
        <v>21.12</v>
      </c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6"/>
        <v>0</v>
      </c>
      <c r="K19" s="34"/>
      <c r="L19" s="34">
        <v>3.2</v>
      </c>
      <c r="M19" s="34">
        <v>2.5</v>
      </c>
      <c r="N19" s="34">
        <f t="shared" si="5"/>
        <v>8</v>
      </c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>
        <v>18.600000000000001</v>
      </c>
      <c r="M20" s="34">
        <v>9.27</v>
      </c>
      <c r="N20" s="34">
        <f t="shared" si="5"/>
        <v>172.422</v>
      </c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6"/>
        <v>0</v>
      </c>
      <c r="K21" s="34"/>
      <c r="L21" s="34">
        <v>6.7</v>
      </c>
      <c r="M21" s="34">
        <v>2.9</v>
      </c>
      <c r="N21" s="34">
        <f t="shared" si="5"/>
        <v>19.43</v>
      </c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6"/>
        <v>0</v>
      </c>
      <c r="K22" s="34"/>
      <c r="L22" s="34">
        <v>10.6</v>
      </c>
      <c r="M22" s="34">
        <v>5.76</v>
      </c>
      <c r="N22" s="34">
        <f t="shared" si="5"/>
        <v>61.055999999999997</v>
      </c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6"/>
        <v>0</v>
      </c>
      <c r="K23" s="34"/>
      <c r="L23" s="34">
        <v>3.6</v>
      </c>
      <c r="M23" s="34">
        <v>2.84</v>
      </c>
      <c r="N23" s="34">
        <f t="shared" si="5"/>
        <v>10.224</v>
      </c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8">B24/12</f>
        <v>0</v>
      </c>
      <c r="F24" s="41">
        <f t="shared" si="8"/>
        <v>0</v>
      </c>
      <c r="G24" s="41">
        <f t="shared" si="8"/>
        <v>0</v>
      </c>
      <c r="H24" s="41">
        <f t="shared" si="8"/>
        <v>0</v>
      </c>
      <c r="I24" s="41">
        <f t="shared" si="8"/>
        <v>0</v>
      </c>
      <c r="J24" s="33">
        <f t="shared" si="6"/>
        <v>0</v>
      </c>
      <c r="K24" s="34"/>
      <c r="L24" s="34">
        <v>5.3</v>
      </c>
      <c r="M24" s="43">
        <v>2.6</v>
      </c>
      <c r="N24" s="34">
        <f t="shared" si="5"/>
        <v>13.78</v>
      </c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8"/>
        <v>0</v>
      </c>
      <c r="F25" s="41">
        <f t="shared" si="8"/>
        <v>0</v>
      </c>
      <c r="G25" s="41">
        <f t="shared" si="8"/>
        <v>0</v>
      </c>
      <c r="H25" s="41">
        <f t="shared" si="8"/>
        <v>0</v>
      </c>
      <c r="I25" s="41">
        <f t="shared" si="8"/>
        <v>0</v>
      </c>
      <c r="J25" s="33">
        <f t="shared" si="6"/>
        <v>0</v>
      </c>
      <c r="K25" s="34"/>
      <c r="L25" s="34">
        <v>3.8</v>
      </c>
      <c r="M25" s="43">
        <v>6.67</v>
      </c>
      <c r="N25" s="34">
        <f t="shared" si="5"/>
        <v>25.346</v>
      </c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8"/>
        <v>0</v>
      </c>
      <c r="F26" s="41">
        <f t="shared" si="8"/>
        <v>0</v>
      </c>
      <c r="G26" s="41">
        <f t="shared" si="8"/>
        <v>0</v>
      </c>
      <c r="H26" s="41">
        <f t="shared" si="8"/>
        <v>0</v>
      </c>
      <c r="I26" s="41">
        <f t="shared" si="8"/>
        <v>0</v>
      </c>
      <c r="J26" s="33">
        <f t="shared" si="6"/>
        <v>0</v>
      </c>
      <c r="K26" s="34"/>
      <c r="L26" s="34">
        <v>7.72</v>
      </c>
      <c r="M26" s="43">
        <v>5.57</v>
      </c>
      <c r="N26" s="34">
        <f t="shared" si="5"/>
        <v>43.000399999999999</v>
      </c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8"/>
        <v>0</v>
      </c>
      <c r="F27" s="41">
        <f t="shared" si="8"/>
        <v>0</v>
      </c>
      <c r="G27" s="41">
        <f t="shared" si="8"/>
        <v>0</v>
      </c>
      <c r="H27" s="41">
        <f t="shared" si="8"/>
        <v>0</v>
      </c>
      <c r="I27" s="41">
        <f t="shared" si="8"/>
        <v>0</v>
      </c>
      <c r="J27" s="33">
        <f t="shared" si="6"/>
        <v>0</v>
      </c>
      <c r="K27" s="34"/>
      <c r="L27" s="34"/>
      <c r="M27" s="34"/>
      <c r="N27" s="34">
        <f t="shared" si="5"/>
        <v>0</v>
      </c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8"/>
        <v>0</v>
      </c>
      <c r="F28" s="41">
        <f t="shared" si="8"/>
        <v>0</v>
      </c>
      <c r="G28" s="41">
        <f t="shared" si="8"/>
        <v>0</v>
      </c>
      <c r="H28" s="41">
        <f t="shared" si="8"/>
        <v>0</v>
      </c>
      <c r="I28" s="41">
        <f t="shared" si="8"/>
        <v>0</v>
      </c>
      <c r="J28" s="33">
        <f t="shared" si="6"/>
        <v>0</v>
      </c>
      <c r="K28" s="34"/>
      <c r="L28" s="34"/>
      <c r="M28" s="34"/>
      <c r="N28" s="34">
        <f t="shared" si="5"/>
        <v>0</v>
      </c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8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9">G29*H29</f>
        <v>0</v>
      </c>
      <c r="J29" s="33">
        <f t="shared" si="6"/>
        <v>0</v>
      </c>
      <c r="K29" s="34"/>
      <c r="L29" s="34"/>
      <c r="M29" s="34"/>
      <c r="N29" s="34">
        <f t="shared" si="5"/>
        <v>0</v>
      </c>
      <c r="O29" s="34"/>
      <c r="P29" s="44"/>
      <c r="Q29" s="44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8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9"/>
        <v>0</v>
      </c>
      <c r="J30" s="33">
        <f t="shared" si="6"/>
        <v>0</v>
      </c>
      <c r="K30" s="34"/>
      <c r="L30" s="34"/>
      <c r="M30" s="34"/>
      <c r="N30" s="34">
        <f t="shared" si="5"/>
        <v>0</v>
      </c>
      <c r="O30" s="34"/>
      <c r="P30" s="45"/>
      <c r="Q30" s="45"/>
      <c r="R30" s="34"/>
    </row>
    <row r="31" spans="1:21" x14ac:dyDescent="0.25">
      <c r="N31" s="34">
        <f t="shared" si="5"/>
        <v>0</v>
      </c>
    </row>
    <row r="32" spans="1:21" x14ac:dyDescent="0.25">
      <c r="N32" s="34">
        <f>SUM(N2:N31)</f>
        <v>1512.1751999999997</v>
      </c>
    </row>
    <row r="33" spans="13:17" x14ac:dyDescent="0.25">
      <c r="M33" s="6"/>
      <c r="N33" s="34"/>
      <c r="P33" s="46"/>
      <c r="Q33" s="46"/>
    </row>
    <row r="34" spans="13:17" x14ac:dyDescent="0.25">
      <c r="M34" s="6"/>
      <c r="N34" s="34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G84"/>
  <sheetViews>
    <sheetView tabSelected="1" workbookViewId="0">
      <selection activeCell="L30" sqref="L30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  <col min="5" max="5" width="17.140625" style="14" customWidth="1"/>
    <col min="6" max="6" width="12.5703125" style="14" bestFit="1" customWidth="1"/>
    <col min="7" max="7" width="14.28515625" bestFit="1" customWidth="1"/>
  </cols>
  <sheetData>
    <row r="1" spans="1:7" x14ac:dyDescent="0.25">
      <c r="A1" s="10"/>
      <c r="B1" s="11"/>
      <c r="C1" s="12"/>
      <c r="E1" s="11"/>
      <c r="F1" s="12"/>
    </row>
    <row r="2" spans="1:7" x14ac:dyDescent="0.25">
      <c r="A2" s="13"/>
      <c r="C2" s="15"/>
      <c r="F2" s="15"/>
    </row>
    <row r="3" spans="1:7" x14ac:dyDescent="0.25">
      <c r="A3" s="13" t="s">
        <v>13</v>
      </c>
      <c r="B3" s="16">
        <v>53000</v>
      </c>
      <c r="C3" s="19" t="s">
        <v>75</v>
      </c>
      <c r="D3" s="6" t="s">
        <v>83</v>
      </c>
      <c r="E3" s="16">
        <v>53000</v>
      </c>
      <c r="F3" s="19" t="s">
        <v>75</v>
      </c>
      <c r="G3" s="6" t="s">
        <v>83</v>
      </c>
    </row>
    <row r="4" spans="1:7" ht="30" x14ac:dyDescent="0.25">
      <c r="A4" s="18" t="s">
        <v>14</v>
      </c>
      <c r="B4" s="16">
        <v>4000</v>
      </c>
      <c r="C4" s="19"/>
      <c r="E4" s="16">
        <v>4000</v>
      </c>
      <c r="F4" s="19"/>
    </row>
    <row r="5" spans="1:7" x14ac:dyDescent="0.25">
      <c r="A5" s="13" t="s">
        <v>15</v>
      </c>
      <c r="B5" s="16">
        <f>B3-B4</f>
        <v>49000</v>
      </c>
      <c r="C5" s="19"/>
      <c r="E5" s="16">
        <f>E3-E4</f>
        <v>49000</v>
      </c>
      <c r="F5" s="19"/>
    </row>
    <row r="6" spans="1:7" x14ac:dyDescent="0.25">
      <c r="A6" s="13" t="s">
        <v>16</v>
      </c>
      <c r="B6" s="16">
        <f>B4</f>
        <v>4000</v>
      </c>
      <c r="C6" s="19"/>
      <c r="E6" s="16">
        <f>E4</f>
        <v>4000</v>
      </c>
      <c r="F6" s="19"/>
    </row>
    <row r="7" spans="1:7" x14ac:dyDescent="0.25">
      <c r="A7" s="13" t="s">
        <v>17</v>
      </c>
      <c r="B7" s="20">
        <f>C7-C8</f>
        <v>0</v>
      </c>
      <c r="C7" s="20">
        <v>2025</v>
      </c>
      <c r="E7" s="20">
        <f>F7-F8</f>
        <v>0</v>
      </c>
      <c r="F7" s="20">
        <v>2025</v>
      </c>
    </row>
    <row r="8" spans="1:7" x14ac:dyDescent="0.25">
      <c r="A8" s="13" t="s">
        <v>18</v>
      </c>
      <c r="B8" s="20">
        <f>B9-B7</f>
        <v>60</v>
      </c>
      <c r="C8" s="20">
        <v>2025</v>
      </c>
      <c r="E8" s="20">
        <f>E9-E7</f>
        <v>60</v>
      </c>
      <c r="F8" s="20">
        <v>2025</v>
      </c>
    </row>
    <row r="9" spans="1:7" x14ac:dyDescent="0.25">
      <c r="A9" s="13" t="s">
        <v>19</v>
      </c>
      <c r="B9" s="20">
        <v>60</v>
      </c>
      <c r="C9" s="20"/>
      <c r="E9" s="20">
        <v>60</v>
      </c>
      <c r="F9" s="20"/>
    </row>
    <row r="10" spans="1:7" ht="30" x14ac:dyDescent="0.25">
      <c r="A10" s="18" t="s">
        <v>20</v>
      </c>
      <c r="B10" s="20">
        <f>90*B7/B9</f>
        <v>0</v>
      </c>
      <c r="C10" s="20"/>
      <c r="E10" s="20">
        <f>90*E7/E9</f>
        <v>0</v>
      </c>
      <c r="F10" s="20"/>
    </row>
    <row r="11" spans="1:7" x14ac:dyDescent="0.25">
      <c r="A11" s="13"/>
      <c r="B11" s="21">
        <f>B10%</f>
        <v>0</v>
      </c>
      <c r="C11" s="21"/>
      <c r="E11" s="21">
        <f>E10%</f>
        <v>0</v>
      </c>
      <c r="F11" s="21"/>
    </row>
    <row r="12" spans="1:7" x14ac:dyDescent="0.25">
      <c r="A12" s="13" t="s">
        <v>21</v>
      </c>
      <c r="B12" s="16">
        <f>B6*B11</f>
        <v>0</v>
      </c>
      <c r="C12" s="19"/>
      <c r="E12" s="16">
        <f>E6*E11</f>
        <v>0</v>
      </c>
      <c r="F12" s="19"/>
    </row>
    <row r="13" spans="1:7" x14ac:dyDescent="0.25">
      <c r="A13" s="13" t="s">
        <v>22</v>
      </c>
      <c r="B13" s="16">
        <f>B6-B12</f>
        <v>4000</v>
      </c>
      <c r="C13" s="19"/>
      <c r="E13" s="16">
        <f>E6-E12</f>
        <v>4000</v>
      </c>
      <c r="F13" s="19"/>
    </row>
    <row r="14" spans="1:7" x14ac:dyDescent="0.25">
      <c r="A14" s="13" t="s">
        <v>15</v>
      </c>
      <c r="B14" s="16">
        <f>B5</f>
        <v>49000</v>
      </c>
      <c r="C14" s="19"/>
      <c r="E14" s="16">
        <f>E5</f>
        <v>49000</v>
      </c>
      <c r="F14" s="19"/>
    </row>
    <row r="15" spans="1:7" x14ac:dyDescent="0.25">
      <c r="B15" s="16"/>
      <c r="C15" s="19"/>
      <c r="E15" s="16"/>
      <c r="F15" s="19"/>
    </row>
    <row r="16" spans="1:7" x14ac:dyDescent="0.25">
      <c r="A16" s="22" t="s">
        <v>23</v>
      </c>
      <c r="B16" s="17">
        <f>B13+B14</f>
        <v>53000</v>
      </c>
      <c r="C16" s="19">
        <v>1500000</v>
      </c>
      <c r="E16" s="17">
        <f>E13+E14</f>
        <v>53000</v>
      </c>
      <c r="F16" s="19">
        <v>1500000</v>
      </c>
    </row>
    <row r="17" spans="1:7" x14ac:dyDescent="0.25">
      <c r="A17" t="s">
        <v>91</v>
      </c>
      <c r="B17" s="20">
        <v>2802</v>
      </c>
      <c r="C17" s="20"/>
      <c r="E17" s="20">
        <v>2902</v>
      </c>
      <c r="F17" s="20"/>
    </row>
    <row r="18" spans="1:7" x14ac:dyDescent="0.25">
      <c r="A18" s="63" t="str">
        <f>D3</f>
        <v>ACA</v>
      </c>
      <c r="B18" s="23">
        <v>1710</v>
      </c>
      <c r="C18" s="20">
        <v>2</v>
      </c>
      <c r="E18" s="23">
        <v>1710</v>
      </c>
      <c r="F18" s="20">
        <v>2</v>
      </c>
    </row>
    <row r="19" spans="1:7" x14ac:dyDescent="0.25">
      <c r="A19" s="13" t="s">
        <v>73</v>
      </c>
      <c r="B19" s="24">
        <f>B18*B16</f>
        <v>90630000</v>
      </c>
      <c r="C19" s="64">
        <f>C16*C18</f>
        <v>3000000</v>
      </c>
      <c r="D19" s="57">
        <f>B19+C19</f>
        <v>93630000</v>
      </c>
      <c r="E19" s="24">
        <f>E18*E16</f>
        <v>90630000</v>
      </c>
      <c r="F19" s="64">
        <f>F16*F18</f>
        <v>3000000</v>
      </c>
      <c r="G19" s="57">
        <f>E19+F19</f>
        <v>93630000</v>
      </c>
    </row>
    <row r="20" spans="1:7" x14ac:dyDescent="0.25">
      <c r="A20" s="13" t="s">
        <v>24</v>
      </c>
      <c r="B20" s="25"/>
      <c r="C20" s="24"/>
      <c r="D20" s="57">
        <f>D19*0.9</f>
        <v>84267000</v>
      </c>
      <c r="E20" s="25"/>
      <c r="F20" s="24"/>
      <c r="G20" s="57">
        <f>G19*0.9</f>
        <v>84267000</v>
      </c>
    </row>
    <row r="21" spans="1:7" x14ac:dyDescent="0.25">
      <c r="A21" s="13" t="s">
        <v>25</v>
      </c>
      <c r="B21" s="25"/>
      <c r="C21" s="25"/>
      <c r="D21" s="57">
        <f>D19*0.8</f>
        <v>74904000</v>
      </c>
      <c r="E21" s="25"/>
      <c r="F21" s="25"/>
      <c r="G21" s="57">
        <f>G19*0.8</f>
        <v>74904000</v>
      </c>
    </row>
    <row r="22" spans="1:7" x14ac:dyDescent="0.25">
      <c r="A22" s="13"/>
      <c r="C22" s="20"/>
      <c r="F22" s="20"/>
    </row>
    <row r="23" spans="1:7" x14ac:dyDescent="0.25">
      <c r="A23" s="26" t="s">
        <v>26</v>
      </c>
      <c r="B23" s="27">
        <f>B4*B18</f>
        <v>6840000</v>
      </c>
      <c r="C23" s="27"/>
      <c r="E23" s="27">
        <f>E4*E18</f>
        <v>6840000</v>
      </c>
      <c r="F23" s="27"/>
    </row>
    <row r="24" spans="1:7" x14ac:dyDescent="0.25">
      <c r="A24" s="13" t="s">
        <v>27</v>
      </c>
    </row>
    <row r="25" spans="1:7" x14ac:dyDescent="0.25">
      <c r="A25" s="28" t="s">
        <v>28</v>
      </c>
      <c r="B25" s="25">
        <f>B19*0.025/12</f>
        <v>188812.5</v>
      </c>
      <c r="C25" s="25"/>
      <c r="D25" s="25"/>
      <c r="E25" s="25">
        <f>E19*0.025/12</f>
        <v>188812.5</v>
      </c>
      <c r="F25" s="25"/>
      <c r="G25" s="25"/>
    </row>
    <row r="26" spans="1:7" x14ac:dyDescent="0.25">
      <c r="B26" s="25"/>
      <c r="C26" s="25"/>
      <c r="E26" s="25"/>
      <c r="F26" s="25"/>
    </row>
    <row r="27" spans="1:7" x14ac:dyDescent="0.25">
      <c r="B27" s="25"/>
      <c r="C27" s="25"/>
      <c r="E27" s="25"/>
      <c r="F27" s="25"/>
    </row>
    <row r="28" spans="1:7" x14ac:dyDescent="0.25">
      <c r="B28"/>
      <c r="C28"/>
      <c r="E28"/>
      <c r="F28"/>
    </row>
    <row r="29" spans="1:7" x14ac:dyDescent="0.25">
      <c r="B29"/>
      <c r="C29"/>
      <c r="E29"/>
      <c r="F29"/>
    </row>
    <row r="30" spans="1:7" x14ac:dyDescent="0.25">
      <c r="B30"/>
      <c r="C30"/>
      <c r="E30"/>
      <c r="F30"/>
    </row>
    <row r="31" spans="1:7" x14ac:dyDescent="0.25">
      <c r="B31"/>
      <c r="C31"/>
      <c r="E31"/>
      <c r="F31"/>
    </row>
    <row r="32" spans="1:7" x14ac:dyDescent="0.25">
      <c r="B32"/>
      <c r="C32"/>
      <c r="E32"/>
      <c r="F32"/>
    </row>
    <row r="33" spans="1:6" x14ac:dyDescent="0.25">
      <c r="B33"/>
      <c r="C33"/>
      <c r="E33"/>
      <c r="F33"/>
    </row>
    <row r="34" spans="1:6" x14ac:dyDescent="0.25">
      <c r="B34"/>
      <c r="C34"/>
      <c r="E34"/>
      <c r="F34"/>
    </row>
    <row r="35" spans="1:6" x14ac:dyDescent="0.25">
      <c r="B35"/>
      <c r="C35"/>
      <c r="E35"/>
      <c r="F35"/>
    </row>
    <row r="36" spans="1:6" x14ac:dyDescent="0.25">
      <c r="B36"/>
      <c r="C36"/>
      <c r="E36"/>
      <c r="F36"/>
    </row>
    <row r="37" spans="1:6" x14ac:dyDescent="0.25">
      <c r="B37"/>
      <c r="C37"/>
      <c r="E37"/>
      <c r="F37"/>
    </row>
    <row r="38" spans="1:6" x14ac:dyDescent="0.25">
      <c r="B38"/>
      <c r="C38"/>
      <c r="E38"/>
      <c r="F38"/>
    </row>
    <row r="39" spans="1:6" x14ac:dyDescent="0.25">
      <c r="B39"/>
      <c r="C39"/>
      <c r="E39"/>
      <c r="F39"/>
    </row>
    <row r="40" spans="1:6" x14ac:dyDescent="0.25">
      <c r="B40"/>
      <c r="C40"/>
      <c r="E40"/>
      <c r="F40"/>
    </row>
    <row r="46" spans="1:6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5" x14ac:dyDescent="0.25">
      <c r="B84" s="14">
        <f>B83*B82</f>
        <v>0</v>
      </c>
      <c r="E84" s="14">
        <f>E83*E82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2353.8177000000001</v>
      </c>
      <c r="C2" s="4">
        <f t="shared" ref="C2:C16" si="1">B2*1.2</f>
        <v>2824.58124</v>
      </c>
      <c r="D2" s="4">
        <f t="shared" ref="D2:D16" si="2">C2*1.2</f>
        <v>3389.497488</v>
      </c>
      <c r="E2" s="5">
        <f t="shared" ref="E2:E16" si="3">R2</f>
        <v>144000000</v>
      </c>
      <c r="F2" s="4">
        <f t="shared" ref="F2:F15" si="4">ROUND((E2/B2),0)</f>
        <v>61177</v>
      </c>
      <c r="G2" s="4">
        <f t="shared" ref="G2:G15" si="5">ROUND((E2/C2),0)</f>
        <v>50981</v>
      </c>
      <c r="H2" s="4">
        <f t="shared" ref="H2:H15" si="6">ROUND((E2/D2),0)</f>
        <v>42484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262.41*10.764</f>
        <v>2824.58124</v>
      </c>
      <c r="Q2">
        <f t="shared" ref="Q2:Q10" si="9">P2/1.2</f>
        <v>2353.8177000000001</v>
      </c>
      <c r="R2" s="2">
        <v>144000000</v>
      </c>
      <c r="S2" s="2" t="s">
        <v>88</v>
      </c>
    </row>
    <row r="3" spans="1:19" x14ac:dyDescent="0.25">
      <c r="A3" s="4">
        <v>2</v>
      </c>
      <c r="B3" s="4">
        <f t="shared" si="0"/>
        <v>1976.7189000000001</v>
      </c>
      <c r="C3" s="4">
        <f t="shared" si="1"/>
        <v>2372.06268</v>
      </c>
      <c r="D3" s="4">
        <f t="shared" si="2"/>
        <v>2846.4752159999998</v>
      </c>
      <c r="E3" s="5">
        <f t="shared" si="3"/>
        <v>98100000</v>
      </c>
      <c r="F3" s="65">
        <f t="shared" si="4"/>
        <v>49628</v>
      </c>
      <c r="G3" s="65">
        <f t="shared" si="5"/>
        <v>41356</v>
      </c>
      <c r="H3" s="65">
        <f t="shared" si="6"/>
        <v>34464</v>
      </c>
      <c r="I3" s="65">
        <f t="shared" si="7"/>
        <v>0</v>
      </c>
      <c r="J3" s="65">
        <f t="shared" si="8"/>
        <v>0</v>
      </c>
      <c r="K3" s="66"/>
      <c r="L3" s="66"/>
      <c r="M3" s="66"/>
      <c r="N3" s="66"/>
      <c r="O3" s="66">
        <v>0</v>
      </c>
      <c r="P3" s="66">
        <f>220.37*10.764</f>
        <v>2372.06268</v>
      </c>
      <c r="Q3" s="66">
        <f t="shared" si="9"/>
        <v>1976.7189000000001</v>
      </c>
      <c r="R3" s="67">
        <v>98100000</v>
      </c>
      <c r="S3" s="67" t="s">
        <v>89</v>
      </c>
    </row>
    <row r="4" spans="1:19" x14ac:dyDescent="0.25">
      <c r="A4" s="4">
        <v>3</v>
      </c>
      <c r="B4" s="4">
        <f t="shared" si="0"/>
        <v>1998.6954000000001</v>
      </c>
      <c r="C4" s="4">
        <f t="shared" si="1"/>
        <v>2398.4344799999999</v>
      </c>
      <c r="D4" s="4">
        <f t="shared" si="2"/>
        <v>2878.1213759999996</v>
      </c>
      <c r="E4" s="5">
        <f t="shared" si="3"/>
        <v>101500000</v>
      </c>
      <c r="F4" s="65">
        <f t="shared" si="4"/>
        <v>50783</v>
      </c>
      <c r="G4" s="65">
        <f t="shared" si="5"/>
        <v>42319</v>
      </c>
      <c r="H4" s="65">
        <f t="shared" si="6"/>
        <v>35266</v>
      </c>
      <c r="I4" s="65">
        <f t="shared" si="7"/>
        <v>0</v>
      </c>
      <c r="J4" s="65">
        <f t="shared" si="8"/>
        <v>0</v>
      </c>
      <c r="K4" s="66"/>
      <c r="L4" s="66"/>
      <c r="M4" s="66"/>
      <c r="N4" s="66"/>
      <c r="O4" s="66">
        <v>0</v>
      </c>
      <c r="P4" s="66">
        <f>222.82*10.764</f>
        <v>2398.4344799999999</v>
      </c>
      <c r="Q4" s="66">
        <f t="shared" si="9"/>
        <v>1998.6954000000001</v>
      </c>
      <c r="R4" s="67">
        <v>101500000</v>
      </c>
      <c r="S4" s="67" t="s">
        <v>90</v>
      </c>
    </row>
    <row r="5" spans="1:19" x14ac:dyDescent="0.25">
      <c r="A5" s="4">
        <v>4</v>
      </c>
      <c r="B5" s="4">
        <f t="shared" si="0"/>
        <v>2065</v>
      </c>
      <c r="C5" s="4">
        <f t="shared" si="1"/>
        <v>2478</v>
      </c>
      <c r="D5" s="4">
        <f t="shared" si="2"/>
        <v>2973.6</v>
      </c>
      <c r="E5" s="5">
        <f t="shared" si="3"/>
        <v>110000000</v>
      </c>
      <c r="F5" s="65">
        <f t="shared" si="4"/>
        <v>53269</v>
      </c>
      <c r="G5" s="65">
        <f t="shared" si="5"/>
        <v>44391</v>
      </c>
      <c r="H5" s="65">
        <f t="shared" si="6"/>
        <v>36992</v>
      </c>
      <c r="I5" s="65">
        <f t="shared" si="7"/>
        <v>0</v>
      </c>
      <c r="J5" s="65">
        <f t="shared" si="8"/>
        <v>0</v>
      </c>
      <c r="K5" s="66"/>
      <c r="L5" s="66"/>
      <c r="M5" s="66"/>
      <c r="N5" s="66"/>
      <c r="O5" s="66">
        <v>0</v>
      </c>
      <c r="P5" s="66">
        <f t="shared" ref="P5:P10" si="10">O5/1.2</f>
        <v>0</v>
      </c>
      <c r="Q5" s="66">
        <v>2065</v>
      </c>
      <c r="R5" s="67">
        <v>110000000</v>
      </c>
      <c r="S5" s="2"/>
    </row>
    <row r="6" spans="1:19" x14ac:dyDescent="0.25">
      <c r="A6" s="4">
        <v>5</v>
      </c>
      <c r="B6" s="4">
        <f t="shared" si="0"/>
        <v>2200</v>
      </c>
      <c r="C6" s="4">
        <f t="shared" si="1"/>
        <v>2640</v>
      </c>
      <c r="D6" s="4">
        <f t="shared" si="2"/>
        <v>3168</v>
      </c>
      <c r="E6" s="5">
        <f t="shared" si="3"/>
        <v>120000000</v>
      </c>
      <c r="F6" s="65">
        <f t="shared" si="4"/>
        <v>54545</v>
      </c>
      <c r="G6" s="65">
        <f t="shared" si="5"/>
        <v>45455</v>
      </c>
      <c r="H6" s="65">
        <f t="shared" si="6"/>
        <v>37879</v>
      </c>
      <c r="I6" s="65">
        <f t="shared" si="7"/>
        <v>0</v>
      </c>
      <c r="J6" s="65">
        <f t="shared" si="8"/>
        <v>0</v>
      </c>
      <c r="K6" s="66"/>
      <c r="L6" s="66"/>
      <c r="M6" s="66"/>
      <c r="N6" s="66"/>
      <c r="O6" s="66">
        <v>0</v>
      </c>
      <c r="P6" s="66">
        <f t="shared" si="10"/>
        <v>0</v>
      </c>
      <c r="Q6" s="66">
        <v>2200</v>
      </c>
      <c r="R6" s="67">
        <v>120000000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0"/>
    </row>
    <row r="25" spans="1:19" s="9" customFormat="1" x14ac:dyDescent="0.25">
      <c r="F25" s="61"/>
    </row>
    <row r="26" spans="1:19" s="9" customFormat="1" x14ac:dyDescent="0.25">
      <c r="F26" s="61"/>
    </row>
    <row r="27" spans="1:19" s="9" customFormat="1" x14ac:dyDescent="0.25">
      <c r="F27" s="44" t="s">
        <v>92</v>
      </c>
      <c r="G27" s="44">
        <v>1512</v>
      </c>
    </row>
    <row r="28" spans="1:19" s="9" customFormat="1" x14ac:dyDescent="0.25">
      <c r="C28" s="59" t="s">
        <v>74</v>
      </c>
      <c r="D28" s="59" t="s">
        <v>87</v>
      </c>
      <c r="F28" s="44" t="s">
        <v>83</v>
      </c>
      <c r="G28" s="44">
        <v>1710</v>
      </c>
      <c r="H28" s="9">
        <f>G28/G27</f>
        <v>1.1309523809523809</v>
      </c>
    </row>
    <row r="29" spans="1:19" s="9" customFormat="1" x14ac:dyDescent="0.25">
      <c r="C29" s="59" t="s">
        <v>1</v>
      </c>
      <c r="D29" s="59">
        <v>63797760</v>
      </c>
      <c r="F29" s="44" t="s">
        <v>71</v>
      </c>
      <c r="G29" s="44">
        <v>2053</v>
      </c>
      <c r="H29" s="9">
        <f>G29/G28</f>
        <v>1.2005847953216375</v>
      </c>
    </row>
    <row r="30" spans="1:19" s="9" customFormat="1" x14ac:dyDescent="0.25">
      <c r="F30" s="44" t="s">
        <v>72</v>
      </c>
      <c r="G30" s="44">
        <v>51000</v>
      </c>
    </row>
    <row r="31" spans="1:19" s="9" customFormat="1" x14ac:dyDescent="0.25">
      <c r="C31" s="62" t="s">
        <v>84</v>
      </c>
      <c r="D31" s="62"/>
      <c r="F31" s="62" t="s">
        <v>73</v>
      </c>
      <c r="G31" s="62">
        <f>G28*G30</f>
        <v>87210000</v>
      </c>
      <c r="H31" s="9">
        <f>G31/D29</f>
        <v>1.3669758938244854</v>
      </c>
    </row>
    <row r="32" spans="1:19" s="9" customFormat="1" x14ac:dyDescent="0.25">
      <c r="C32" s="62" t="s">
        <v>85</v>
      </c>
      <c r="D32" s="62">
        <v>2056</v>
      </c>
      <c r="F32" s="62" t="s">
        <v>24</v>
      </c>
      <c r="G32" s="62">
        <f>G31*90%</f>
        <v>78489000</v>
      </c>
      <c r="H32" s="9">
        <f>G31/D34</f>
        <v>1.0876234660281352</v>
      </c>
    </row>
    <row r="33" spans="3:7" s="9" customFormat="1" x14ac:dyDescent="0.25">
      <c r="C33" s="62" t="s">
        <v>86</v>
      </c>
      <c r="D33" s="62">
        <v>39000</v>
      </c>
      <c r="F33" s="62" t="s">
        <v>25</v>
      </c>
      <c r="G33" s="62">
        <f>G31*80%</f>
        <v>69768000</v>
      </c>
    </row>
    <row r="34" spans="3:7" s="9" customFormat="1" x14ac:dyDescent="0.25">
      <c r="C34" s="62" t="s">
        <v>73</v>
      </c>
      <c r="D34" s="62">
        <f>D32*D33</f>
        <v>80184000</v>
      </c>
    </row>
    <row r="35" spans="3:7" s="9" customFormat="1" x14ac:dyDescent="0.25">
      <c r="C35" s="62" t="s">
        <v>24</v>
      </c>
      <c r="D35" s="62">
        <f>D34*0.9</f>
        <v>72165600</v>
      </c>
    </row>
    <row r="36" spans="3:7" s="9" customFormat="1" x14ac:dyDescent="0.25">
      <c r="C36" s="9" t="s">
        <v>25</v>
      </c>
      <c r="D36" s="9">
        <f>D34*0.8</f>
        <v>64147200</v>
      </c>
    </row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33" sqref="P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2025-02-04T05:29:10Z</dcterms:modified>
</cp:coreProperties>
</file>