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man_industries\man industries\"/>
    </mc:Choice>
  </mc:AlternateContent>
  <xr:revisionPtr revIDLastSave="0" documentId="13_ncr:1_{9BF0884F-CEC6-497A-9BB3-DCDAC6D35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 &amp; B Valuation " sheetId="4" r:id="rId1"/>
    <sheet name="Land Details" sheetId="12" r:id="rId2"/>
    <sheet name="Jantri Rate" sheetId="5" r:id="rId3"/>
    <sheet name="P &amp; M Valuation" sheetId="11" r:id="rId4"/>
    <sheet name="Sheet4" sheetId="8" r:id="rId5"/>
    <sheet name="Sheet5" sheetId="9" r:id="rId6"/>
    <sheet name="Sheet6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>#REF!</definedName>
    <definedName name="A_1">#REF!</definedName>
    <definedName name="A_2">#REF!</definedName>
    <definedName name="AA">#REF!</definedName>
    <definedName name="AAA">Scheduled_Payment+Extra_Payment</definedName>
    <definedName name="aaaa">'[9]DHPL Project PO summ'!#REF!</definedName>
    <definedName name="aaaaa">[10]BSheet!#REF!</definedName>
    <definedName name="AAB">#REF!</definedName>
    <definedName name="AABC">#REF!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>#REF!</definedName>
    <definedName name="asdfqasd">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>#REF!</definedName>
    <definedName name="BLTable">'[14]BL-Bud'!$A$11:$Y$133</definedName>
    <definedName name="BN">#REF!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>#REF!</definedName>
    <definedName name="CD">#REF!</definedName>
    <definedName name="CDDXZC">#REF!</definedName>
    <definedName name="CDFGBHN">#REF!</definedName>
    <definedName name="CDFV">#REF!</definedName>
    <definedName name="CDFVBN">#REF!</definedName>
    <definedName name="CDFVG">#REF!</definedName>
    <definedName name="CDFVGB">#REF!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>#REF!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>#REF!</definedName>
    <definedName name="CRAFT_RATE">'[17]Labor Rates'!$A$12:$D$30</definedName>
    <definedName name="cs">#REF!</definedName>
    <definedName name="CV">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d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>#REF!</definedName>
    <definedName name="DI">[23]ANN.K!#REF!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>#REF!</definedName>
    <definedName name="ep">#REF!</definedName>
    <definedName name="erw">#REF!</definedName>
    <definedName name="estimatedcost">#REF!</definedName>
    <definedName name="EU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>#REF!</definedName>
    <definedName name="Excel_BuiltIn_Print_Titles_11">#REF!</definedName>
    <definedName name="Excel_BuiltIn_Print_Titles_2">#REF!</definedName>
    <definedName name="excel1" hidden="1">{"Lab/Admin - Summ",#N/A,TRUE,"LABADMIN";"Lab/Admin - Detail",#N/A,TRUE,"LABADMIN"}</definedName>
    <definedName name="EXP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>#REF!</definedName>
    <definedName name="ff">#REF!</definedName>
    <definedName name="fff">#REF!</definedName>
    <definedName name="FG">#REF!</definedName>
    <definedName name="fh">#REF!</definedName>
    <definedName name="fincharges">[10]BSheet!#REF!</definedName>
    <definedName name="FIVE">#REF!</definedName>
    <definedName name="FIXEDCOST" hidden="1">#REF!</definedName>
    <definedName name="FJYIOM">#REF!</definedName>
    <definedName name="FOUR">#REF!</definedName>
    <definedName name="Full_Print">#REF!</definedName>
    <definedName name="FULLCOMPANY">#REF!</definedName>
    <definedName name="FULLCOMPANY_1">#REF!</definedName>
    <definedName name="FULLCOMPANY_2">#REF!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>#REF!</definedName>
    <definedName name="gokul1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>#REF!</definedName>
    <definedName name="Interest_Rate">#REF!</definedName>
    <definedName name="intsch">#REF!</definedName>
    <definedName name="intsch_1">#REF!</definedName>
    <definedName name="intsch_2">#REF!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>#REF!</definedName>
    <definedName name="kk">#REF!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>Scheduled_Payment+Extra_Payment</definedName>
    <definedName name="LM">#REF!</definedName>
    <definedName name="Loan_Amount">#REF!</definedName>
    <definedName name="Loan_Start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>#REF!</definedName>
    <definedName name="mj">#REF!</definedName>
    <definedName name="mn">#REF!</definedName>
    <definedName name="MNB">#REF!</definedName>
    <definedName name="MNBVC">#REF!</definedName>
    <definedName name="mns">#REF!</definedName>
    <definedName name="Monthnum">[29]Input!$D$7</definedName>
    <definedName name="MR">#REF!</definedName>
    <definedName name="ms">#REF!</definedName>
    <definedName name="MSTable">'[14]MS-Bud'!$A$11:$Y$133</definedName>
    <definedName name="muk">#REF!</definedName>
    <definedName name="mukesh">#REF!</definedName>
    <definedName name="N">#N/A</definedName>
    <definedName name="Nature27">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>#REF!</definedName>
    <definedName name="Number_of_Payments">#N/A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>#REF!</definedName>
    <definedName name="OP">#REF!</definedName>
    <definedName name="ORMOCT">#REF!</definedName>
    <definedName name="ou">#REF!</definedName>
    <definedName name="OY">#REF!</definedName>
    <definedName name="p">#REF!</definedName>
    <definedName name="p_1">#REF!</definedName>
    <definedName name="p_2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>#REF!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>#REF!</definedName>
    <definedName name="pl_1">#REF!</definedName>
    <definedName name="pl_2">#REF!</definedName>
    <definedName name="PLTable">'[14]PL-Bud'!$A$11:$Y$133</definedName>
    <definedName name="po">#REF!</definedName>
    <definedName name="POS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>#REF!</definedName>
    <definedName name="print">'[31]INTT PROJ.'!$B$77:$S$109</definedName>
    <definedName name="print_">'[31]HO COST'!$C$2:$O$53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>#REF!</definedName>
    <definedName name="qa">#REF!</definedName>
    <definedName name="qh" hidden="1">#REF!</definedName>
    <definedName name="qs">#REF!</definedName>
    <definedName name="qt">#REF!</definedName>
    <definedName name="qw">#REF!</definedName>
    <definedName name="RAGU">#REF!</definedName>
    <definedName name="rajesh">#REF!</definedName>
    <definedName name="ramesh">#REF!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>#REF!</definedName>
    <definedName name="RNGDETAILS0_1">#REF!</definedName>
    <definedName name="RNGDETAILS0_2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>#REF!</definedName>
    <definedName name="SASA">#REF!</definedName>
    <definedName name="sc">#REF!</definedName>
    <definedName name="Sched_Pay">#REF!</definedName>
    <definedName name="Schedule11">[23]ANN.K!#REF!</definedName>
    <definedName name="Scheduled_Extra_Payments">#REF!</definedName>
    <definedName name="Scheduled_Interest_Rate">#REF!</definedName>
    <definedName name="Scheduled_Monthly_Payment">#REF!</definedName>
    <definedName name="scrau">#REF!</definedName>
    <definedName name="SDAFSFASD">#REF!</definedName>
    <definedName name="Section_List">#REF!</definedName>
    <definedName name="SectionsAll">#REF!</definedName>
    <definedName name="sfg">#REF!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>#REF!</definedName>
    <definedName name="SR">[38]C120102!#REF!</definedName>
    <definedName name="ss" hidden="1">#REF!</definedName>
    <definedName name="SSS">#REF!</definedName>
    <definedName name="ssss">'[9]DHPL Project PO summ'!#REF!</definedName>
    <definedName name="SSSSSS">#REF!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>#REF!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>#REF!</definedName>
    <definedName name="TDA">'[39]BAL-P&amp;L'!#REF!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>#REF!</definedName>
    <definedName name="Total_Pay">#REF!</definedName>
    <definedName name="Total_Payment">Scheduled_Payment+Extra_Payment</definedName>
    <definedName name="TourismFactor">[24]Factors!$B$6</definedName>
    <definedName name="TR">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>#REF!</definedName>
    <definedName name="XXXXX">#REF!</definedName>
    <definedName name="XY">#REF!</definedName>
    <definedName name="xyz">#REF!</definedName>
    <definedName name="xz">#REF!</definedName>
    <definedName name="yahoo">#REF!</definedName>
    <definedName name="yb">#REF!</definedName>
    <definedName name="yc">#REF!</definedName>
    <definedName name="Year">#REF!</definedName>
    <definedName name="YSTable">'[14]YS-Bud'!$A$11:$Y$133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2" l="1"/>
  <c r="E17" i="8"/>
  <c r="E16" i="8"/>
  <c r="E15" i="8"/>
  <c r="T22" i="12"/>
  <c r="Q22" i="12"/>
  <c r="E80" i="4"/>
  <c r="E81" i="4"/>
  <c r="G50" i="12"/>
  <c r="I49" i="12"/>
  <c r="I48" i="12"/>
  <c r="I47" i="12"/>
  <c r="I46" i="12"/>
  <c r="B60" i="12"/>
  <c r="D60" i="12" s="1"/>
  <c r="B59" i="12"/>
  <c r="D59" i="12" s="1"/>
  <c r="B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H21" i="12"/>
  <c r="G21" i="12"/>
  <c r="G20" i="12"/>
  <c r="G19" i="12"/>
  <c r="G18" i="12"/>
  <c r="G17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P48" i="4"/>
  <c r="I48" i="4"/>
  <c r="J48" i="4" s="1"/>
  <c r="I29" i="12"/>
  <c r="I28" i="12"/>
  <c r="I27" i="12"/>
  <c r="I26" i="12"/>
  <c r="B40" i="12"/>
  <c r="D40" i="12" s="1"/>
  <c r="B39" i="12"/>
  <c r="D39" i="12" s="1"/>
  <c r="B38" i="12"/>
  <c r="D38" i="12" s="1"/>
  <c r="D37" i="12"/>
  <c r="D36" i="12"/>
  <c r="D35" i="12"/>
  <c r="D34" i="12"/>
  <c r="D33" i="12"/>
  <c r="D32" i="12"/>
  <c r="D31" i="12"/>
  <c r="D30" i="12"/>
  <c r="D29" i="12"/>
  <c r="D28" i="12"/>
  <c r="D27" i="12"/>
  <c r="D26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3" i="12"/>
  <c r="D21" i="12"/>
  <c r="F21" i="12" s="1"/>
  <c r="D20" i="12"/>
  <c r="F20" i="12" s="1"/>
  <c r="D19" i="12"/>
  <c r="F19" i="12" s="1"/>
  <c r="F5" i="4"/>
  <c r="D5" i="4"/>
  <c r="I61" i="4"/>
  <c r="J61" i="4" s="1"/>
  <c r="D61" i="4"/>
  <c r="P61" i="4" s="1"/>
  <c r="D43" i="4"/>
  <c r="D58" i="4"/>
  <c r="I53" i="4"/>
  <c r="J53" i="4" s="1"/>
  <c r="P53" i="4"/>
  <c r="I29" i="4"/>
  <c r="J29" i="4" s="1"/>
  <c r="P29" i="4"/>
  <c r="D59" i="4"/>
  <c r="D47" i="4"/>
  <c r="E18" i="8" l="1"/>
  <c r="B61" i="12"/>
  <c r="D58" i="12"/>
  <c r="D61" i="12" s="1"/>
  <c r="I50" i="12"/>
  <c r="K48" i="4"/>
  <c r="L48" i="4" s="1"/>
  <c r="M48" i="4" s="1"/>
  <c r="O48" i="4" s="1"/>
  <c r="N48" i="4" s="1"/>
  <c r="D41" i="12"/>
  <c r="C78" i="4" s="1"/>
  <c r="G30" i="12"/>
  <c r="B41" i="12"/>
  <c r="I30" i="12"/>
  <c r="D78" i="4" s="1"/>
  <c r="F22" i="12"/>
  <c r="D22" i="12"/>
  <c r="K61" i="4"/>
  <c r="L61" i="4" s="1"/>
  <c r="M61" i="4" s="1"/>
  <c r="O61" i="4" s="1"/>
  <c r="N61" i="4" s="1"/>
  <c r="K53" i="4"/>
  <c r="L53" i="4" s="1"/>
  <c r="M53" i="4" s="1"/>
  <c r="O53" i="4" s="1"/>
  <c r="K29" i="4"/>
  <c r="L29" i="4" s="1"/>
  <c r="M29" i="4" s="1"/>
  <c r="O29" i="4" s="1"/>
  <c r="N29" i="4" s="1"/>
  <c r="C4" i="4" l="1"/>
  <c r="F35" i="12"/>
  <c r="E78" i="4"/>
  <c r="N53" i="4"/>
  <c r="E5" i="4"/>
  <c r="G90" i="4"/>
  <c r="D6" i="4"/>
  <c r="C6" i="4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P13" i="4"/>
  <c r="P14" i="4"/>
  <c r="P15" i="4"/>
  <c r="P16" i="4"/>
  <c r="P17" i="4"/>
  <c r="P18" i="4"/>
  <c r="P60" i="4"/>
  <c r="P19" i="4"/>
  <c r="P20" i="4"/>
  <c r="P21" i="4"/>
  <c r="P22" i="4"/>
  <c r="P23" i="4"/>
  <c r="P24" i="4"/>
  <c r="P25" i="4"/>
  <c r="P26" i="4"/>
  <c r="P27" i="4"/>
  <c r="P28" i="4"/>
  <c r="P30" i="4"/>
  <c r="P31" i="4"/>
  <c r="P32" i="4"/>
  <c r="P33" i="4"/>
  <c r="P34" i="4"/>
  <c r="P35" i="4"/>
  <c r="P36" i="4"/>
  <c r="P37" i="4"/>
  <c r="P38" i="4"/>
  <c r="P39" i="4"/>
  <c r="P40" i="4"/>
  <c r="P54" i="4"/>
  <c r="P55" i="4"/>
  <c r="P56" i="4"/>
  <c r="P57" i="4"/>
  <c r="P58" i="4"/>
  <c r="P59" i="4"/>
  <c r="P41" i="4"/>
  <c r="P42" i="4"/>
  <c r="P43" i="4"/>
  <c r="P44" i="4"/>
  <c r="P45" i="4"/>
  <c r="P46" i="4"/>
  <c r="P47" i="4"/>
  <c r="P49" i="4"/>
  <c r="P12" i="4"/>
  <c r="I13" i="4"/>
  <c r="I14" i="4"/>
  <c r="J14" i="4" s="1"/>
  <c r="I15" i="4"/>
  <c r="K15" i="4" s="1"/>
  <c r="L15" i="4" s="1"/>
  <c r="M15" i="4" s="1"/>
  <c r="O15" i="4" s="1"/>
  <c r="I16" i="4"/>
  <c r="K16" i="4" s="1"/>
  <c r="L16" i="4" s="1"/>
  <c r="M16" i="4" s="1"/>
  <c r="O16" i="4" s="1"/>
  <c r="I17" i="4"/>
  <c r="I18" i="4"/>
  <c r="J18" i="4" s="1"/>
  <c r="I60" i="4"/>
  <c r="K60" i="4" s="1"/>
  <c r="L60" i="4" s="1"/>
  <c r="M60" i="4" s="1"/>
  <c r="O60" i="4" s="1"/>
  <c r="I19" i="4"/>
  <c r="K19" i="4" s="1"/>
  <c r="L19" i="4" s="1"/>
  <c r="M19" i="4" s="1"/>
  <c r="O19" i="4" s="1"/>
  <c r="I20" i="4"/>
  <c r="I21" i="4"/>
  <c r="K21" i="4" s="1"/>
  <c r="L21" i="4" s="1"/>
  <c r="M21" i="4" s="1"/>
  <c r="O21" i="4" s="1"/>
  <c r="I22" i="4"/>
  <c r="K22" i="4" s="1"/>
  <c r="L22" i="4" s="1"/>
  <c r="M22" i="4" s="1"/>
  <c r="O22" i="4" s="1"/>
  <c r="I23" i="4"/>
  <c r="I24" i="4"/>
  <c r="J24" i="4" s="1"/>
  <c r="I25" i="4"/>
  <c r="J25" i="4" s="1"/>
  <c r="I26" i="4"/>
  <c r="K26" i="4" s="1"/>
  <c r="L26" i="4" s="1"/>
  <c r="M26" i="4" s="1"/>
  <c r="O26" i="4" s="1"/>
  <c r="I27" i="4"/>
  <c r="I28" i="4"/>
  <c r="K28" i="4" s="1"/>
  <c r="L28" i="4" s="1"/>
  <c r="M28" i="4" s="1"/>
  <c r="O28" i="4" s="1"/>
  <c r="I30" i="4"/>
  <c r="K30" i="4" s="1"/>
  <c r="L30" i="4" s="1"/>
  <c r="M30" i="4" s="1"/>
  <c r="O30" i="4" s="1"/>
  <c r="I31" i="4"/>
  <c r="K31" i="4" s="1"/>
  <c r="L31" i="4" s="1"/>
  <c r="M31" i="4" s="1"/>
  <c r="O31" i="4" s="1"/>
  <c r="I32" i="4"/>
  <c r="K32" i="4" s="1"/>
  <c r="L32" i="4" s="1"/>
  <c r="M32" i="4" s="1"/>
  <c r="O32" i="4" s="1"/>
  <c r="I33" i="4"/>
  <c r="K33" i="4" s="1"/>
  <c r="L33" i="4" s="1"/>
  <c r="M33" i="4" s="1"/>
  <c r="O33" i="4" s="1"/>
  <c r="I34" i="4"/>
  <c r="I35" i="4"/>
  <c r="J35" i="4" s="1"/>
  <c r="I36" i="4"/>
  <c r="J36" i="4" s="1"/>
  <c r="I37" i="4"/>
  <c r="K37" i="4" s="1"/>
  <c r="L37" i="4" s="1"/>
  <c r="M37" i="4" s="1"/>
  <c r="O37" i="4" s="1"/>
  <c r="I38" i="4"/>
  <c r="I39" i="4"/>
  <c r="J39" i="4" s="1"/>
  <c r="I40" i="4"/>
  <c r="K40" i="4" s="1"/>
  <c r="L40" i="4" s="1"/>
  <c r="M40" i="4" s="1"/>
  <c r="O40" i="4" s="1"/>
  <c r="I54" i="4"/>
  <c r="K54" i="4" s="1"/>
  <c r="L54" i="4" s="1"/>
  <c r="M54" i="4" s="1"/>
  <c r="O54" i="4" s="1"/>
  <c r="I55" i="4"/>
  <c r="I56" i="4"/>
  <c r="J56" i="4" s="1"/>
  <c r="I57" i="4"/>
  <c r="J57" i="4" s="1"/>
  <c r="I58" i="4"/>
  <c r="I59" i="4"/>
  <c r="K59" i="4" s="1"/>
  <c r="L59" i="4" s="1"/>
  <c r="M59" i="4" s="1"/>
  <c r="O59" i="4" s="1"/>
  <c r="I41" i="4"/>
  <c r="I42" i="4"/>
  <c r="J42" i="4" s="1"/>
  <c r="I43" i="4"/>
  <c r="J43" i="4" s="1"/>
  <c r="I44" i="4"/>
  <c r="K44" i="4" s="1"/>
  <c r="L44" i="4" s="1"/>
  <c r="M44" i="4" s="1"/>
  <c r="O44" i="4" s="1"/>
  <c r="I45" i="4"/>
  <c r="I46" i="4"/>
  <c r="J46" i="4" s="1"/>
  <c r="I47" i="4"/>
  <c r="K47" i="4" s="1"/>
  <c r="L47" i="4" s="1"/>
  <c r="M47" i="4" s="1"/>
  <c r="O47" i="4" s="1"/>
  <c r="I49" i="4"/>
  <c r="I12" i="4"/>
  <c r="J12" i="4" s="1"/>
  <c r="F37" i="12" l="1"/>
  <c r="F36" i="12"/>
  <c r="P50" i="4"/>
  <c r="C85" i="4" s="1"/>
  <c r="P62" i="4"/>
  <c r="D85" i="4" s="1"/>
  <c r="N47" i="4"/>
  <c r="N32" i="4"/>
  <c r="N28" i="4"/>
  <c r="N21" i="4"/>
  <c r="N60" i="4"/>
  <c r="N37" i="4"/>
  <c r="N26" i="4"/>
  <c r="N19" i="4"/>
  <c r="K14" i="4"/>
  <c r="L14" i="4" s="1"/>
  <c r="M14" i="4" s="1"/>
  <c r="O14" i="4" s="1"/>
  <c r="N14" i="4" s="1"/>
  <c r="N44" i="4"/>
  <c r="N40" i="4"/>
  <c r="N15" i="4"/>
  <c r="J60" i="4"/>
  <c r="J47" i="4"/>
  <c r="J40" i="4"/>
  <c r="K43" i="4"/>
  <c r="L43" i="4" s="1"/>
  <c r="M43" i="4" s="1"/>
  <c r="O43" i="4" s="1"/>
  <c r="N43" i="4" s="1"/>
  <c r="K57" i="4"/>
  <c r="L57" i="4" s="1"/>
  <c r="M57" i="4" s="1"/>
  <c r="O57" i="4" s="1"/>
  <c r="N57" i="4" s="1"/>
  <c r="K36" i="4"/>
  <c r="L36" i="4" s="1"/>
  <c r="M36" i="4" s="1"/>
  <c r="O36" i="4" s="1"/>
  <c r="N36" i="4" s="1"/>
  <c r="J28" i="4"/>
  <c r="J15" i="4"/>
  <c r="K25" i="4"/>
  <c r="L25" i="4" s="1"/>
  <c r="M25" i="4" s="1"/>
  <c r="O25" i="4" s="1"/>
  <c r="N25" i="4" s="1"/>
  <c r="K42" i="4"/>
  <c r="L42" i="4" s="1"/>
  <c r="M42" i="4" s="1"/>
  <c r="O42" i="4" s="1"/>
  <c r="N42" i="4" s="1"/>
  <c r="K56" i="4"/>
  <c r="L56" i="4" s="1"/>
  <c r="M56" i="4" s="1"/>
  <c r="O56" i="4" s="1"/>
  <c r="N56" i="4" s="1"/>
  <c r="K35" i="4"/>
  <c r="L35" i="4" s="1"/>
  <c r="M35" i="4" s="1"/>
  <c r="O35" i="4" s="1"/>
  <c r="N35" i="4" s="1"/>
  <c r="J31" i="4"/>
  <c r="J32" i="4"/>
  <c r="K24" i="4"/>
  <c r="L24" i="4" s="1"/>
  <c r="M24" i="4" s="1"/>
  <c r="O24" i="4" s="1"/>
  <c r="N24" i="4" s="1"/>
  <c r="K18" i="4"/>
  <c r="L18" i="4" s="1"/>
  <c r="M18" i="4" s="1"/>
  <c r="O18" i="4" s="1"/>
  <c r="N18" i="4" s="1"/>
  <c r="N59" i="4"/>
  <c r="N54" i="4"/>
  <c r="N33" i="4"/>
  <c r="N22" i="4"/>
  <c r="N16" i="4"/>
  <c r="J21" i="4"/>
  <c r="J30" i="4"/>
  <c r="K46" i="4"/>
  <c r="L46" i="4" s="1"/>
  <c r="M46" i="4" s="1"/>
  <c r="O46" i="4" s="1"/>
  <c r="N46" i="4" s="1"/>
  <c r="K39" i="4"/>
  <c r="L39" i="4" s="1"/>
  <c r="M39" i="4" s="1"/>
  <c r="O39" i="4" s="1"/>
  <c r="N39" i="4" s="1"/>
  <c r="J22" i="4"/>
  <c r="J16" i="4"/>
  <c r="J59" i="4"/>
  <c r="J54" i="4"/>
  <c r="J33" i="4"/>
  <c r="J49" i="4"/>
  <c r="K49" i="4"/>
  <c r="L49" i="4" s="1"/>
  <c r="M49" i="4" s="1"/>
  <c r="O49" i="4" s="1"/>
  <c r="N49" i="4" s="1"/>
  <c r="J45" i="4"/>
  <c r="K45" i="4"/>
  <c r="L45" i="4" s="1"/>
  <c r="M45" i="4" s="1"/>
  <c r="O45" i="4" s="1"/>
  <c r="N45" i="4" s="1"/>
  <c r="J41" i="4"/>
  <c r="K41" i="4"/>
  <c r="L41" i="4" s="1"/>
  <c r="M41" i="4" s="1"/>
  <c r="O41" i="4" s="1"/>
  <c r="N41" i="4" s="1"/>
  <c r="J58" i="4"/>
  <c r="K58" i="4"/>
  <c r="L58" i="4" s="1"/>
  <c r="M58" i="4" s="1"/>
  <c r="O58" i="4" s="1"/>
  <c r="N58" i="4" s="1"/>
  <c r="J55" i="4"/>
  <c r="K55" i="4"/>
  <c r="L55" i="4" s="1"/>
  <c r="M55" i="4" s="1"/>
  <c r="O55" i="4" s="1"/>
  <c r="N55" i="4" s="1"/>
  <c r="J38" i="4"/>
  <c r="K38" i="4"/>
  <c r="L38" i="4" s="1"/>
  <c r="M38" i="4" s="1"/>
  <c r="O38" i="4" s="1"/>
  <c r="N38" i="4" s="1"/>
  <c r="J34" i="4"/>
  <c r="K34" i="4"/>
  <c r="L34" i="4" s="1"/>
  <c r="M34" i="4" s="1"/>
  <c r="O34" i="4" s="1"/>
  <c r="N34" i="4" s="1"/>
  <c r="J27" i="4"/>
  <c r="K27" i="4"/>
  <c r="L27" i="4" s="1"/>
  <c r="M27" i="4" s="1"/>
  <c r="O27" i="4" s="1"/>
  <c r="N27" i="4" s="1"/>
  <c r="J23" i="4"/>
  <c r="K23" i="4"/>
  <c r="L23" i="4" s="1"/>
  <c r="M23" i="4" s="1"/>
  <c r="O23" i="4" s="1"/>
  <c r="N23" i="4" s="1"/>
  <c r="J20" i="4"/>
  <c r="K20" i="4"/>
  <c r="L20" i="4" s="1"/>
  <c r="M20" i="4" s="1"/>
  <c r="O20" i="4" s="1"/>
  <c r="N20" i="4" s="1"/>
  <c r="J17" i="4"/>
  <c r="K17" i="4"/>
  <c r="L17" i="4" s="1"/>
  <c r="M17" i="4" s="1"/>
  <c r="O17" i="4" s="1"/>
  <c r="N17" i="4" s="1"/>
  <c r="J13" i="4"/>
  <c r="K13" i="4"/>
  <c r="L13" i="4" s="1"/>
  <c r="M13" i="4" s="1"/>
  <c r="O13" i="4" s="1"/>
  <c r="N13" i="4" s="1"/>
  <c r="N31" i="4"/>
  <c r="J26" i="4"/>
  <c r="J19" i="4"/>
  <c r="J44" i="4"/>
  <c r="J37" i="4"/>
  <c r="N30" i="4"/>
  <c r="K12" i="4"/>
  <c r="L12" i="4" s="1"/>
  <c r="M12" i="4" s="1"/>
  <c r="O12" i="4" s="1"/>
  <c r="O50" i="4" l="1"/>
  <c r="C79" i="4" s="1"/>
  <c r="P64" i="4"/>
  <c r="E85" i="4" s="1"/>
  <c r="O62" i="4"/>
  <c r="D79" i="4" s="1"/>
  <c r="N12" i="4"/>
  <c r="O15" i="10"/>
  <c r="D86" i="4" l="1"/>
  <c r="D82" i="4"/>
  <c r="E79" i="4"/>
  <c r="E82" i="4" s="1"/>
  <c r="C86" i="4"/>
  <c r="O64" i="4"/>
  <c r="D165" i="4"/>
  <c r="E86" i="4" l="1"/>
  <c r="E84" i="4"/>
  <c r="E83" i="4"/>
  <c r="D83" i="4"/>
  <c r="D84" i="4"/>
  <c r="B134" i="4"/>
  <c r="B135" i="4" s="1"/>
  <c r="C82" i="4" l="1"/>
  <c r="C70" i="4" l="1"/>
  <c r="C83" i="4" l="1"/>
  <c r="C84" i="4" l="1"/>
</calcChain>
</file>

<file path=xl/sharedStrings.xml><?xml version="1.0" encoding="utf-8"?>
<sst xmlns="http://schemas.openxmlformats.org/spreadsheetml/2006/main" count="673" uniqueCount="451">
  <si>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</si>
  <si>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</si>
  <si>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</si>
  <si>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</si>
  <si>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</si>
  <si>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</si>
  <si>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</si>
  <si>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</si>
  <si>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</si>
  <si>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</si>
  <si>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</si>
  <si>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</si>
  <si>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</si>
  <si>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</si>
  <si>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</si>
  <si>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Depreciation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</si>
  <si>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</si>
  <si>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</si>
  <si>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</si>
  <si>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</si>
  <si>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</si>
  <si>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</si>
  <si>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Sq.M</t>
  </si>
  <si>
    <t>Structure Value (as per approved plan)</t>
  </si>
  <si>
    <t>Per Sq.M</t>
  </si>
  <si>
    <t>(Sq. M)</t>
  </si>
  <si>
    <t>Shed</t>
  </si>
  <si>
    <t>RCC roof &amp; Brick Wall</t>
  </si>
  <si>
    <t>Total</t>
  </si>
  <si>
    <t>Store &amp; Sub Station</t>
  </si>
  <si>
    <t>Panel Room in Store &amp; Sub Station</t>
  </si>
  <si>
    <t>L-Saw Plant 2</t>
  </si>
  <si>
    <t>Extended</t>
  </si>
  <si>
    <t>Office Building at Rear side of L-Saw Plant 2</t>
  </si>
  <si>
    <t>Switch Yard Infront of L-Saw Plant 2</t>
  </si>
  <si>
    <t>Panel Room in Shed, Store Room &amp; Toilet Shed</t>
  </si>
  <si>
    <t>Store and Work Shop of Plant</t>
  </si>
  <si>
    <t>Toilet Block at Rear side of L-Saw Plant</t>
  </si>
  <si>
    <t>Nace Lab</t>
  </si>
  <si>
    <t>Work Shop ar rear side of L-Saw Plant</t>
  </si>
  <si>
    <t>Parking Shed ar Rear Side of L-Saw Plant</t>
  </si>
  <si>
    <t>Tab cutting Shed near work Shop</t>
  </si>
  <si>
    <t>Coating Plant-I</t>
  </si>
  <si>
    <t>Shed Between Coating Plant-I &amp; II</t>
  </si>
  <si>
    <t>Toilet for Coating Plant-I</t>
  </si>
  <si>
    <t>Shed at front side of Coating Plant-I</t>
  </si>
  <si>
    <t>Laboratory Inside of Shed</t>
  </si>
  <si>
    <t>Storage Area &amp; Office Inside Shed</t>
  </si>
  <si>
    <t>Storage area of Coating -I</t>
  </si>
  <si>
    <t>Coating-II</t>
  </si>
  <si>
    <t>Roughness Shed &amp; Rear Side of Coating-II</t>
  </si>
  <si>
    <t>Toilet For Coating-II</t>
  </si>
  <si>
    <t>Building at rear side of Coating-II near ETP plant</t>
  </si>
  <si>
    <t>External &amp; Internal Shed for Inlet &amp; Outlet at Front side of Coating Plant-II</t>
  </si>
  <si>
    <t>Store in Plant</t>
  </si>
  <si>
    <t>Utility, Blasting Panel room</t>
  </si>
  <si>
    <t>CWC Plant, Office for plant</t>
  </si>
  <si>
    <t>Sub Station Near CWC Plant</t>
  </si>
  <si>
    <t>Dispencsary</t>
  </si>
  <si>
    <t>Guest House - Ground Floor &amp; 1st Floor</t>
  </si>
  <si>
    <t>Porch</t>
  </si>
  <si>
    <t>Admin Building - Ground Floor &amp; 1st Floor</t>
  </si>
  <si>
    <t>Parking for Admin Building</t>
  </si>
  <si>
    <t>Store</t>
  </si>
  <si>
    <t>Shed in front of Store</t>
  </si>
  <si>
    <t>Toilet Near Commercial Building</t>
  </si>
  <si>
    <t>Temple</t>
  </si>
  <si>
    <t>Survey No</t>
  </si>
  <si>
    <t>Area in Sq.M.</t>
  </si>
  <si>
    <t>485/5</t>
  </si>
  <si>
    <t>485/2</t>
  </si>
  <si>
    <t>485/3</t>
  </si>
  <si>
    <t>485/4</t>
  </si>
  <si>
    <t>502/1</t>
  </si>
  <si>
    <t>502/2</t>
  </si>
  <si>
    <t>503/1</t>
  </si>
  <si>
    <t>503/2</t>
  </si>
  <si>
    <t xml:space="preserve">Total Land Area </t>
  </si>
  <si>
    <t>Machine Code</t>
  </si>
  <si>
    <t>Machine Name</t>
  </si>
  <si>
    <t>Year of installation</t>
  </si>
  <si>
    <t>RCN (INR)</t>
  </si>
  <si>
    <t>LS/3RBM/01</t>
  </si>
  <si>
    <t>3 roll bending + Power pack</t>
  </si>
  <si>
    <t>HS3/OL/01 TO 04</t>
  </si>
  <si>
    <t>OFFLINE WELDING</t>
  </si>
  <si>
    <t>HS3/FC/01</t>
  </si>
  <si>
    <t>EDGE CHAMFERING UNIT</t>
  </si>
  <si>
    <t>C(3)/ISB/01 &amp; C(3)/IDCS/01 &amp; C(3) / SB /02</t>
  </si>
  <si>
    <t>INTERNAL BLASTING</t>
  </si>
  <si>
    <t>LS/RWM/01</t>
  </si>
  <si>
    <t>Conveyar + ROOT WELDING MACHINE</t>
  </si>
  <si>
    <t>CWC/CA/01</t>
  </si>
  <si>
    <t>CWC APPLICATOR</t>
  </si>
  <si>
    <t>HS3/UT/01</t>
  </si>
  <si>
    <t>FINAL UT MACHINE</t>
  </si>
  <si>
    <t>HS1/MILL</t>
  </si>
  <si>
    <t>SPIRAL-1 (SET OF COMPLETE MACHINE)</t>
  </si>
  <si>
    <t>HS3/EM/01</t>
  </si>
  <si>
    <t>EDGE MILLING MACHINE</t>
  </si>
  <si>
    <t>COATING 2</t>
  </si>
  <si>
    <t>COATING PLANT</t>
  </si>
  <si>
    <t>C(3)/PPE/01 &amp; C(3)/AE/01</t>
  </si>
  <si>
    <t>PE/PPE E XTRUDER &amp; ADHASHIVE EXTRUDER</t>
  </si>
  <si>
    <t>LS/MEXM/01</t>
  </si>
  <si>
    <t>MECHANICAL EXPANDER</t>
  </si>
  <si>
    <t>COAT/IND/01</t>
  </si>
  <si>
    <t>PE COATING PLANT</t>
  </si>
  <si>
    <t>HS3/EOT/04</t>
  </si>
  <si>
    <t>z-Stores EOT cranes</t>
  </si>
  <si>
    <t>HS3/RTR/01</t>
  </si>
  <si>
    <t>REAL TIME X-RAY</t>
  </si>
  <si>
    <t>LS/PEMM/01</t>
  </si>
  <si>
    <t>PLATE EDGE MILLING MACHINE</t>
  </si>
  <si>
    <t>KS2/JCO/02</t>
  </si>
  <si>
    <t>JCO MACHINE</t>
  </si>
  <si>
    <t>LS/PBM/01</t>
  </si>
  <si>
    <t>Quality Control Equipments</t>
  </si>
  <si>
    <t>LS2/3CPM/02</t>
  </si>
  <si>
    <t>CRIMPING MACHINE</t>
  </si>
  <si>
    <t>LS2/JCO/02</t>
  </si>
  <si>
    <t>HS2/OLM/01</t>
  </si>
  <si>
    <t>LS/HTM/01</t>
  </si>
  <si>
    <t>HYDRO TESTER</t>
  </si>
  <si>
    <t>CWC/MM/01</t>
  </si>
  <si>
    <t>MIXER</t>
  </si>
  <si>
    <t>HS3/XR/01</t>
  </si>
  <si>
    <t>X-RAY MACHINE</t>
  </si>
  <si>
    <t>C(3)/PC/01</t>
  </si>
  <si>
    <t>PIPE CONVEYOR(S)</t>
  </si>
  <si>
    <t>LS2/PUTM/01</t>
  </si>
  <si>
    <t>PLATE UT MACHINE</t>
  </si>
  <si>
    <t>HS2/CUTM/01</t>
  </si>
  <si>
    <t>Expenses Allocation</t>
  </si>
  <si>
    <t>C(3)/ISB/01</t>
  </si>
  <si>
    <t>HS2/RFM/01</t>
  </si>
  <si>
    <t>HS2/RTRM/01</t>
  </si>
  <si>
    <t>COAT/WC/01</t>
  </si>
  <si>
    <t>LS/FUTM/01</t>
  </si>
  <si>
    <t>PIPE CONVEYOR</t>
  </si>
  <si>
    <t>LS/XRM/01</t>
  </si>
  <si>
    <t>LS2/MEXM/02</t>
  </si>
  <si>
    <t>LS/ECM/01</t>
  </si>
  <si>
    <t>z-Expenses</t>
  </si>
  <si>
    <t>LS/IWM/01 &amp; 02</t>
  </si>
  <si>
    <t>ID / OD WELDING</t>
  </si>
  <si>
    <t>C(3)/IH/01</t>
  </si>
  <si>
    <t>INDUCTION HEATER</t>
  </si>
  <si>
    <t>HS1/OL/01 &amp; 02</t>
  </si>
  <si>
    <t>LS/SM/01 &amp; 02</t>
  </si>
  <si>
    <t>z-Stores</t>
  </si>
  <si>
    <t>C(3)/FBESS/01</t>
  </si>
  <si>
    <t>FUSION BONDED EPOXY SPRAY SYSTEM</t>
  </si>
  <si>
    <t>HS2/PCM/01</t>
  </si>
  <si>
    <t>PIPE CUT OFF (PLAZMA CUTTING)</t>
  </si>
  <si>
    <t>HS2/ECM/01</t>
  </si>
  <si>
    <t>LS2/RWM/02</t>
  </si>
  <si>
    <t>ROOT WELDING MACHINE</t>
  </si>
  <si>
    <t>C(3)/ISB/01&amp;C(3)/IPS /01</t>
  </si>
  <si>
    <t>LS/EOT/01</t>
  </si>
  <si>
    <t>CRANES</t>
  </si>
  <si>
    <t>KS2/JCO/01</t>
  </si>
  <si>
    <t>MIL/UTL/AD/06</t>
  </si>
  <si>
    <t>SHOT BLASTER</t>
  </si>
  <si>
    <t>HS2/BM/01</t>
  </si>
  <si>
    <t>PIPE END BEVELLIN GMACHINE</t>
  </si>
  <si>
    <t>C(3)/IPS/01</t>
  </si>
  <si>
    <t>INTERNAL PAINTING SYSTEM</t>
  </si>
  <si>
    <t>HS2/OLM/03</t>
  </si>
  <si>
    <t>OFFLINE-3</t>
  </si>
  <si>
    <t>MIL/UTL/RO/01</t>
  </si>
  <si>
    <t>REVERSE OSMOSIS PLANT</t>
  </si>
  <si>
    <t>HS3/CUTM/01</t>
  </si>
  <si>
    <t>COIL UT MACHINE</t>
  </si>
  <si>
    <t>COAT/SM/01</t>
  </si>
  <si>
    <t>Stripping Machine</t>
  </si>
  <si>
    <t>LS/EOT/08</t>
  </si>
  <si>
    <t>MIL/UTL/MECH/06 &amp; 07</t>
  </si>
  <si>
    <t>LS/VIB/01</t>
  </si>
  <si>
    <t>VISUAL INSPECTION STATION</t>
  </si>
  <si>
    <t>LS/XRM/02</t>
  </si>
  <si>
    <t>HS2/SACB/01</t>
  </si>
  <si>
    <t>HS2/EOT/02</t>
  </si>
  <si>
    <t>HS2/EOT/01</t>
  </si>
  <si>
    <t>PP/DG/03</t>
  </si>
  <si>
    <t>D.G.Set (New) A/C</t>
  </si>
  <si>
    <t>LS/PUTM/01</t>
  </si>
  <si>
    <t>HS3/EOT/05</t>
  </si>
  <si>
    <t>HS3/EOT/02</t>
  </si>
  <si>
    <t>HS3/EOT/03</t>
  </si>
  <si>
    <t>HS3/OL/01 1004</t>
  </si>
  <si>
    <t>C(3)/PEC/01 TO 02</t>
  </si>
  <si>
    <t>PIPE END BRUSHING</t>
  </si>
  <si>
    <t>HS3/BM/01</t>
  </si>
  <si>
    <t>PIPE END BEVELLING MACHINE</t>
  </si>
  <si>
    <t>HS2/FM/01</t>
  </si>
  <si>
    <t>FORMING SECTIONS</t>
  </si>
  <si>
    <t>C(3)/CT/01 TO 04,</t>
  </si>
  <si>
    <t>COOLING TOWER</t>
  </si>
  <si>
    <t>PP/DG/01</t>
  </si>
  <si>
    <t>Diesel Genetor Set</t>
  </si>
  <si>
    <t>MIL/UTL/MECH/01</t>
  </si>
  <si>
    <t>HYDRA</t>
  </si>
  <si>
    <t>C(3)/CT/01 TO 04</t>
  </si>
  <si>
    <t>LS/CTL</t>
  </si>
  <si>
    <t>CUT TO LENGTH MACHINE</t>
  </si>
  <si>
    <t>CWC/CS/01</t>
  </si>
  <si>
    <t>CEMENT SILO</t>
  </si>
  <si>
    <t>HS2/CUTM/02</t>
  </si>
  <si>
    <t>HS2 Main Machine</t>
  </si>
  <si>
    <t>LS/EOT/09</t>
  </si>
  <si>
    <t>CWC/MH/01</t>
  </si>
  <si>
    <t>MATERIAL STORAGE HOPPER</t>
  </si>
  <si>
    <t>1/2005/3160</t>
  </si>
  <si>
    <t>UNIVERSAL TENSILE TESTING MACHINE</t>
  </si>
  <si>
    <t>C(3)/SB/01 &amp; 02</t>
  </si>
  <si>
    <t>SHOT BLASTER-01 &amp; 02</t>
  </si>
  <si>
    <t>MIL/UTL/CH/01</t>
  </si>
  <si>
    <t>CHILLER UNIT</t>
  </si>
  <si>
    <t>LS2/EOT/07</t>
  </si>
  <si>
    <t>LS/MEXM01</t>
  </si>
  <si>
    <t>CTL PLANT</t>
  </si>
  <si>
    <t>HS2/EOT/06</t>
  </si>
  <si>
    <t>DOUBLE GIRDER EOT CRANE</t>
  </si>
  <si>
    <t>HS2/EOT/07</t>
  </si>
  <si>
    <t>LS/EOT/03</t>
  </si>
  <si>
    <t>LS/EOT/05</t>
  </si>
  <si>
    <t>Sensor RD Tech</t>
  </si>
  <si>
    <t>Sensor</t>
  </si>
  <si>
    <t>C(3)/PEC/01 TO 02 &amp; C(3)/IPS/01</t>
  </si>
  <si>
    <t>LS/EOT/04</t>
  </si>
  <si>
    <t>LS/MEXM02</t>
  </si>
  <si>
    <t>MIL/UTL/MECH/08</t>
  </si>
  <si>
    <t>OTHERS - LAB EQUIPMENT</t>
  </si>
  <si>
    <t>LS/OWM/01 &amp; 02</t>
  </si>
  <si>
    <t>OUTER WELDING MACHINE</t>
  </si>
  <si>
    <t>HS2/XRM/01</t>
  </si>
  <si>
    <t>COAT/EXT/01</t>
  </si>
  <si>
    <t>ADHESIVE EXTRUDER</t>
  </si>
  <si>
    <t>LS2/IWM/02/01&amp;02 LS2/OWM/02/01 &amp; 02</t>
  </si>
  <si>
    <t>INSIDE WELDING</t>
  </si>
  <si>
    <t>CWC/MTB/01</t>
  </si>
  <si>
    <t>MATERIAL CONVEYING BELT</t>
  </si>
  <si>
    <t>C(3)/SB/01</t>
  </si>
  <si>
    <t>SHOT BLASTER -1</t>
  </si>
  <si>
    <t>HS1/PHS/01</t>
  </si>
  <si>
    <t>PIPE HOLD DOWN SYSTEM</t>
  </si>
  <si>
    <t>LS/EOT/02</t>
  </si>
  <si>
    <t>LS2/OWM/02/01 &amp; 02</t>
  </si>
  <si>
    <t>OUT SIDE WELDING MACHINE</t>
  </si>
  <si>
    <t>C(3)/PPE/01 &amp; C(3)/AE/01 &amp; C(3)/IH/01</t>
  </si>
  <si>
    <t>HS2/EOT/04</t>
  </si>
  <si>
    <t>LS2/EOT/08</t>
  </si>
  <si>
    <t>LS/PBM/02</t>
  </si>
  <si>
    <t>COAT/HD/01</t>
  </si>
  <si>
    <t>HOLIDAY DETECTOR</t>
  </si>
  <si>
    <t>HSAW MILL-1</t>
  </si>
  <si>
    <t>ID Laser Tracking system</t>
  </si>
  <si>
    <t>LS/IWMM/01 &amp;02</t>
  </si>
  <si>
    <t>POST BENDING MACHINE</t>
  </si>
  <si>
    <t>C(3)IPS/01, C(3)/PC/01</t>
  </si>
  <si>
    <t>INTERNAL PAINTING SYSTEM, PIPE CONVEYOR</t>
  </si>
  <si>
    <t>GEN/WB/01</t>
  </si>
  <si>
    <t>WEIGH BRIDGE</t>
  </si>
  <si>
    <t>HS1/RF/01</t>
  </si>
  <si>
    <t>FIVE ROLLER FLATTENER</t>
  </si>
  <si>
    <t>MIL/UTL/AIR/02</t>
  </si>
  <si>
    <t>AIR COMPRESSOR</t>
  </si>
  <si>
    <t>C-3/PH/01 &amp; 02</t>
  </si>
  <si>
    <t>PRE-HEATER</t>
  </si>
  <si>
    <t>ETP Plant</t>
  </si>
  <si>
    <t>LS2/HTM/02</t>
  </si>
  <si>
    <t>HYDROTESTER</t>
  </si>
  <si>
    <t>HS3/MPIC/01</t>
  </si>
  <si>
    <t>MAGNATIC PARTICLE TESTING COIL TYPE</t>
  </si>
  <si>
    <t>MIL/UTL/AIR/03</t>
  </si>
  <si>
    <t>LS/MUTM</t>
  </si>
  <si>
    <t>MANUAL ULTRASONIC TESTING</t>
  </si>
  <si>
    <t>C(3)/DWP/01</t>
  </si>
  <si>
    <t>DM RO WATER PLANT</t>
  </si>
  <si>
    <t>HS2/OLM/02</t>
  </si>
  <si>
    <t>OFF LINE 2</t>
  </si>
  <si>
    <t>MIL/UTL/AIR/01</t>
  </si>
  <si>
    <t>MIL/UTL/MECH/04</t>
  </si>
  <si>
    <t>MIL/UTL/MECH/07</t>
  </si>
  <si>
    <t>LS2/PEMM/02</t>
  </si>
  <si>
    <t>C(3)/AI/01</t>
  </si>
  <si>
    <t>AIR DRYER</t>
  </si>
  <si>
    <t>MIL/UTL/AIR/05</t>
  </si>
  <si>
    <t>LS2/EOT/01</t>
  </si>
  <si>
    <t>EOT-1</t>
  </si>
  <si>
    <t>MIL/UTL/CT/01</t>
  </si>
  <si>
    <t>C-1/PC/01</t>
  </si>
  <si>
    <t>PIPE CONVEYORS</t>
  </si>
  <si>
    <t>LS/RWM/02</t>
  </si>
  <si>
    <t>LS/MPPM/01</t>
  </si>
  <si>
    <t>MAGNETIC PARTICLE TEST MACHINE</t>
  </si>
  <si>
    <t>MIL/UTL/CT/02</t>
  </si>
  <si>
    <t>C(3)/PEC/01 TO 02 &amp; C(3)/IDCS/01</t>
  </si>
  <si>
    <t>COOLING TOWER &amp; PIPE END BRUSHING &amp; DUST CLEANING SYSTEM</t>
  </si>
  <si>
    <t>LS/HTM/02</t>
  </si>
  <si>
    <t>PAJPI/56/10/165</t>
  </si>
  <si>
    <t>HS3/EOT/01</t>
  </si>
  <si>
    <t>Base Frame</t>
  </si>
  <si>
    <t>MIL/UTL/MECH/09</t>
  </si>
  <si>
    <t>FORK LIFT</t>
  </si>
  <si>
    <t>C(3)/PPH/01 &amp; C(3)/PPB/01</t>
  </si>
  <si>
    <t>PAINTING PUMP (HARDNER &amp; BASE)</t>
  </si>
  <si>
    <t>HS2/HTM/01</t>
  </si>
  <si>
    <t>MIL/UTL/MECH/03</t>
  </si>
  <si>
    <t>C(3)/CT/01 TO 04 &amp;</t>
  </si>
  <si>
    <t>COOLING TOWR &amp; AIR DRAYER</t>
  </si>
  <si>
    <t>LS/EFM/01</t>
  </si>
  <si>
    <t>End Facing Machine</t>
  </si>
  <si>
    <t>TSE112</t>
  </si>
  <si>
    <t>DEAD WEIGHT TESTER</t>
  </si>
  <si>
    <t>LS2/ECM/02</t>
  </si>
  <si>
    <t>END CHEMFERRING M/C</t>
  </si>
  <si>
    <t>LS2/SM/02/ 01 &amp; 02</t>
  </si>
  <si>
    <t>SIZING M/C (PRE &amp; POST)</t>
  </si>
  <si>
    <t>C(3)/FBESS/01 &amp; C(3)DWP/01</t>
  </si>
  <si>
    <t>FUSION BONDED EPOXY SPRAY SYSTEM &amp; DM RO WATER PLANT</t>
  </si>
  <si>
    <t>HS1/RW/01</t>
  </si>
  <si>
    <t>HS2/DM/01</t>
  </si>
  <si>
    <t>DEW POINT METER</t>
  </si>
  <si>
    <t>HS1/PC/01</t>
  </si>
  <si>
    <t>LS2/EOT/05</t>
  </si>
  <si>
    <t>LS/PUTM/02</t>
  </si>
  <si>
    <t>CWC/RS/01</t>
  </si>
  <si>
    <t>RECLAIM STRUCTURE</t>
  </si>
  <si>
    <t>HS1/RO/01</t>
  </si>
  <si>
    <t>HSAW MILL-2</t>
  </si>
  <si>
    <t>CWC/WMS/01</t>
  </si>
  <si>
    <t>WIRE MESH STRUCTURE</t>
  </si>
  <si>
    <t>PP/FST</t>
  </si>
  <si>
    <t>Fuel Storage Tank</t>
  </si>
  <si>
    <t>MIL/UTL/MECH/06</t>
  </si>
  <si>
    <t>LS2/SM/02/01 &amp; 02</t>
  </si>
  <si>
    <t>LS/FIB/01</t>
  </si>
  <si>
    <t>FINAL INSPECTION STATION NO.1</t>
  </si>
  <si>
    <t>MIL/UTL/AD/01</t>
  </si>
  <si>
    <t>REFRIGERENT AIR DRYER</t>
  </si>
  <si>
    <t>MIL/UTIL/RO/02</t>
  </si>
  <si>
    <t>MIL/UTL/AD/03</t>
  </si>
  <si>
    <t>C(3)DWP/01</t>
  </si>
  <si>
    <t>C-1/SB/01-02</t>
  </si>
  <si>
    <t>SHOT BLASTER 1 &amp; 2</t>
  </si>
  <si>
    <t>HS1/EP/01</t>
  </si>
  <si>
    <t>LS2/EOT/02</t>
  </si>
  <si>
    <t>MIL/UTL/AD/02</t>
  </si>
  <si>
    <t>LS2/MSEXM/02</t>
  </si>
  <si>
    <t>CCTV</t>
  </si>
  <si>
    <t>C-1/IBM/01</t>
  </si>
  <si>
    <t>INTERNAL BLASTING MACHINE</t>
  </si>
  <si>
    <t>C-2/ISB/01</t>
  </si>
  <si>
    <t>INTERNAL SHOT BLASTING</t>
  </si>
  <si>
    <t>HS3/WB/01</t>
  </si>
  <si>
    <t>LS2/IWM/02//01 &amp; 02</t>
  </si>
  <si>
    <t>HS3/HT/01</t>
  </si>
  <si>
    <t>LS/WB/01</t>
  </si>
  <si>
    <t>HS3/PC/01</t>
  </si>
  <si>
    <t>PLASMA MACHINE</t>
  </si>
  <si>
    <t>HS1/FUT/01</t>
  </si>
  <si>
    <t>HS1/MJ/01</t>
  </si>
  <si>
    <t>METAL JOINTER</t>
  </si>
  <si>
    <t>LS/SM/01 &amp;02</t>
  </si>
  <si>
    <t>SIZING MACHINE</t>
  </si>
  <si>
    <t>LS2/WM/02/01 &amp; 02</t>
  </si>
  <si>
    <t>HS2/TW/01</t>
  </si>
  <si>
    <t>TACK WELDING</t>
  </si>
  <si>
    <t>LS2/IWM/02/01&amp;02</t>
  </si>
  <si>
    <t>LAB EQUIPMENT</t>
  </si>
  <si>
    <t>PE - QC</t>
  </si>
  <si>
    <t>LS2/FUTM/02</t>
  </si>
  <si>
    <t>C-1/AE/01</t>
  </si>
  <si>
    <t>EXTRUDER PE &amp; ADH</t>
  </si>
  <si>
    <t>LS/MPTM/01</t>
  </si>
  <si>
    <t>LS/MEXM/02</t>
  </si>
  <si>
    <t>Total (A)</t>
  </si>
  <si>
    <t>Gross Block as per new  rules</t>
  </si>
  <si>
    <t>Total COATING</t>
  </si>
  <si>
    <t>COATING PLANT (EOU)</t>
  </si>
  <si>
    <t>Less : Accumulated Depreciation reduced as per new rules</t>
  </si>
  <si>
    <t>Gross Block as per new Rules</t>
  </si>
  <si>
    <t>Grand Total</t>
  </si>
  <si>
    <t>Residual Life (In Years)</t>
  </si>
  <si>
    <t>Current Age (In Years)</t>
  </si>
  <si>
    <t>Market Value (INR)</t>
  </si>
  <si>
    <t>Total Original Price</t>
  </si>
  <si>
    <t>Coating Plant-III</t>
  </si>
  <si>
    <t>L Saw Plant - I + Sprial Mill - II</t>
  </si>
  <si>
    <t>Spiral Mil - III (H - Saw - III)</t>
  </si>
  <si>
    <t>New HR Building Opp. Main Gate - Ground + 2 Upper Floor</t>
  </si>
  <si>
    <t>Time Office &amp; Security Cabin - Ground Floor + 1st Floor</t>
  </si>
  <si>
    <t>Estimated Replacement Cost</t>
  </si>
  <si>
    <t>Structure</t>
  </si>
  <si>
    <t>Type of Structure</t>
  </si>
  <si>
    <t>Age Of Build</t>
  </si>
  <si>
    <t>Year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</si>
  <si>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</si>
  <si>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r>
      <t xml:space="preserve">Rate / Sq. M. in </t>
    </r>
    <r>
      <rPr>
        <b/>
        <sz val="11"/>
        <color theme="1"/>
        <rFont val="Rupee Foradian"/>
        <family val="2"/>
      </rPr>
      <t>`</t>
    </r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</si>
  <si>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</si>
  <si>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MORTGAGE LAND VALUE</t>
  </si>
  <si>
    <t>500 (501)</t>
  </si>
  <si>
    <t>471/1 (ERW Plant)</t>
  </si>
  <si>
    <t>471/2 (ERW Plant)</t>
  </si>
  <si>
    <t>472 (ERW Plant)</t>
  </si>
  <si>
    <t>STRUCTURE ON UNMORTGAGE LAND</t>
  </si>
  <si>
    <t>STRUCTURE ON MORTGAGE LAND</t>
  </si>
  <si>
    <t>Production Shed on ERW Plant</t>
  </si>
  <si>
    <t>VALUE OF STRUCTURE ON MORTGAGE LAND</t>
  </si>
  <si>
    <t>VALUE OF STRUCTURE ON UNMORTGAGE LAND</t>
  </si>
  <si>
    <t>Realizable Value</t>
  </si>
  <si>
    <t>Distress Sale Value</t>
  </si>
  <si>
    <t>Sr.</t>
  </si>
  <si>
    <t>Survey No.</t>
  </si>
  <si>
    <t>Date</t>
  </si>
  <si>
    <t>Seller</t>
  </si>
  <si>
    <t>Buyer</t>
  </si>
  <si>
    <t>Amount</t>
  </si>
  <si>
    <t>Land Area</t>
  </si>
  <si>
    <t>Area in Sq. M.</t>
  </si>
  <si>
    <t>Acre</t>
  </si>
  <si>
    <t>Guntha</t>
  </si>
  <si>
    <t>Jadeja Jakhubha Pragji</t>
  </si>
  <si>
    <t>Man Industries (India) Limited</t>
  </si>
  <si>
    <t>Mahaveersingh Narpatsinh Vaghela</t>
  </si>
  <si>
    <t>Jadeja Pravinsinh Ranubha</t>
  </si>
  <si>
    <t>-</t>
  </si>
  <si>
    <t>Sadubha Atubha Jadeja</t>
  </si>
  <si>
    <t>Hansubaa Sahdevsingh Vaghela</t>
  </si>
  <si>
    <t>Hasubaalias Shantiba jashubha Jadeja</t>
  </si>
  <si>
    <t>TOTAL</t>
  </si>
  <si>
    <t>Gunthas</t>
  </si>
  <si>
    <t>UNMORTGAGE LAND VALUE</t>
  </si>
  <si>
    <t>Particluars</t>
  </si>
  <si>
    <t>Mortgage Property</t>
  </si>
  <si>
    <t>Unmortgage Property</t>
  </si>
  <si>
    <t>MORTGAGE GUIDELINE LAND VALUE</t>
  </si>
  <si>
    <t>UNMORTGAGE GUIDELINE LAND VALUE</t>
  </si>
  <si>
    <t xml:space="preserve">Survey No. 486 &amp; 492 are purchase by Man Industries as per sale agreemnt dated but latest 7/12 Extract is till showing seller name </t>
  </si>
  <si>
    <t>Fair Market Value</t>
  </si>
  <si>
    <t>471/1</t>
  </si>
  <si>
    <t>471/2</t>
  </si>
  <si>
    <t>Jadeja Nohanba Manubha &amp; 2 Others</t>
  </si>
  <si>
    <t>Patel Ishwarlal Valji &amp; 2 Others</t>
  </si>
  <si>
    <t>Dayalal Vishram Patidar (Patel) &amp; 5 Others</t>
  </si>
  <si>
    <t>Nitemdrasinh Pravinsinh Madhavsang Jadeja</t>
  </si>
  <si>
    <t>Commercial Building - Ground Floor + 1st Floor &amp; Stair Cabin</t>
  </si>
  <si>
    <t>Balance Life of Structures</t>
  </si>
  <si>
    <t>Structure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</si>
</sst>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Arial Narrow"/>
      <family val="2"/>
    </font>
    <font>
      <sz val="13"/>
      <color theme="1"/>
      <name val="Arial Narrow"/>
      <family val="2"/>
    </font>
    <font>
      <b/>
      <sz val="11"/>
      <name val="Rupee Foradian"/>
      <family val="2"/>
    </font>
    <font>
      <b/>
      <sz val="11"/>
      <color theme="1"/>
      <name val="Rupee Foradian"/>
      <family val="2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2" fontId="3" fillId="0" borderId="0" xfId="0" applyNumberFormat="1" applyFont="1"/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0" applyNumberFormat="1" applyFont="1" applyAlignment="1">
      <alignment vertical="top"/>
    </xf>
    <xf numFmtId="0" fontId="5" fillId="0" borderId="0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2" fontId="1" fillId="0" borderId="0" xfId="1" applyNumberFormat="1" applyFont="1"/>
    <xf numFmtId="2" fontId="6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5" fillId="0" borderId="3" xfId="1" applyNumberFormat="1" applyFont="1" applyBorder="1"/>
    <xf numFmtId="2" fontId="6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3" fillId="0" borderId="0" xfId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2" fillId="0" borderId="0" xfId="0" applyFont="1"/>
    <xf numFmtId="0" fontId="0" fillId="2" borderId="0" xfId="0" applyFill="1"/>
    <xf numFmtId="164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/>
    <xf numFmtId="4" fontId="6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43" fontId="5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3" fontId="1" fillId="0" borderId="1" xfId="1" applyFont="1" applyBorder="1" applyAlignment="1">
      <alignment horizontal="left" vertical="center" wrapText="1"/>
    </xf>
    <xf numFmtId="43" fontId="14" fillId="0" borderId="1" xfId="1" applyFont="1" applyBorder="1" applyAlignment="1">
      <alignment horizontal="right" vertical="center"/>
    </xf>
    <xf numFmtId="0" fontId="1" fillId="0" borderId="1" xfId="1" applyNumberFormat="1" applyFont="1" applyBorder="1" applyAlignment="1">
      <alignment horizontal="right" vertical="center" wrapText="1"/>
    </xf>
    <xf numFmtId="0" fontId="1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3" fontId="5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5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vertical="center"/>
    </xf>
    <xf numFmtId="43" fontId="1" fillId="0" borderId="1" xfId="1" applyFont="1" applyBorder="1" applyAlignment="1">
      <alignment horizontal="right" vertical="center"/>
    </xf>
    <xf numFmtId="43" fontId="1" fillId="0" borderId="0" xfId="1" applyFont="1" applyAlignment="1">
      <alignment horizont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center" vertical="top"/>
    </xf>
    <xf numFmtId="43" fontId="9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2" fontId="16" fillId="0" borderId="0" xfId="0" applyNumberFormat="1" applyFont="1"/>
    <xf numFmtId="0" fontId="9" fillId="0" borderId="1" xfId="0" applyFont="1" applyBorder="1" applyAlignment="1">
      <alignment horizontal="center" vertical="top" wrapText="1" shrinkToFit="1"/>
    </xf>
    <xf numFmtId="43" fontId="6" fillId="0" borderId="1" xfId="1" applyFont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 wrapText="1"/>
    </xf>
    <xf numFmtId="2" fontId="1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14" fillId="0" borderId="1" xfId="1" applyFont="1" applyBorder="1" applyAlignment="1">
      <alignment horizontal="left" vertical="center" wrapText="1"/>
    </xf>
    <xf numFmtId="43" fontId="6" fillId="0" borderId="1" xfId="1" applyFont="1" applyBorder="1" applyAlignment="1">
      <alignment vertical="top" wrapText="1"/>
    </xf>
    <xf numFmtId="43" fontId="1" fillId="0" borderId="0" xfId="1" applyFont="1"/>
    <xf numFmtId="2" fontId="6" fillId="0" borderId="1" xfId="1" applyNumberFormat="1" applyFont="1" applyFill="1" applyBorder="1" applyAlignment="1">
      <alignment vertical="top" wrapText="1"/>
    </xf>
    <xf numFmtId="43" fontId="6" fillId="0" borderId="1" xfId="1" applyFont="1" applyFill="1" applyBorder="1" applyAlignment="1">
      <alignment wrapText="1"/>
    </xf>
    <xf numFmtId="43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6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vertical="center" wrapText="1"/>
    </xf>
    <xf numFmtId="1" fontId="9" fillId="0" borderId="0" xfId="1" applyNumberFormat="1" applyFont="1" applyBorder="1" applyAlignment="1">
      <alignment vertical="center" wrapText="1"/>
    </xf>
    <xf numFmtId="1" fontId="6" fillId="0" borderId="0" xfId="0" applyNumberFormat="1" applyFont="1" applyAlignment="1">
      <alignment vertical="top"/>
    </xf>
    <xf numFmtId="1" fontId="5" fillId="0" borderId="0" xfId="0" applyNumberFormat="1" applyFont="1"/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center" vertical="top" wrapText="1"/>
    </xf>
    <xf numFmtId="0" fontId="5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wrapText="1" shrinkToFit="1"/>
    </xf>
    <xf numFmtId="1" fontId="6" fillId="2" borderId="1" xfId="1" applyNumberFormat="1" applyFont="1" applyFill="1" applyBorder="1" applyAlignment="1">
      <alignment vertical="center" wrapText="1"/>
    </xf>
    <xf numFmtId="43" fontId="14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43" fontId="6" fillId="2" borderId="1" xfId="1" applyFont="1" applyFill="1" applyBorder="1" applyAlignment="1">
      <alignment horizontal="center" vertical="center" wrapText="1" shrinkToFit="1"/>
    </xf>
    <xf numFmtId="43" fontId="6" fillId="2" borderId="1" xfId="1" applyFont="1" applyFill="1" applyBorder="1" applyAlignment="1">
      <alignment horizontal="right" wrapText="1"/>
    </xf>
    <xf numFmtId="43" fontId="6" fillId="2" borderId="1" xfId="1" applyFont="1" applyFill="1" applyBorder="1" applyAlignment="1">
      <alignment horizontal="left" vertical="center" wrapText="1"/>
    </xf>
    <xf numFmtId="43" fontId="14" fillId="2" borderId="1" xfId="1" applyFont="1" applyFill="1" applyBorder="1" applyAlignment="1">
      <alignment horizontal="left" vertical="center" wrapText="1"/>
    </xf>
    <xf numFmtId="43" fontId="14" fillId="2" borderId="1" xfId="1" applyFont="1" applyFill="1" applyBorder="1" applyAlignment="1">
      <alignment horizontal="right" vertical="center"/>
    </xf>
    <xf numFmtId="0" fontId="14" fillId="2" borderId="1" xfId="1" applyNumberFormat="1" applyFont="1" applyFill="1" applyBorder="1" applyAlignment="1">
      <alignment horizontal="right" vertical="center"/>
    </xf>
    <xf numFmtId="0" fontId="1" fillId="2" borderId="1" xfId="1" applyNumberFormat="1" applyFont="1" applyFill="1" applyBorder="1" applyAlignment="1">
      <alignment horizontal="right" vertical="center" wrapText="1"/>
    </xf>
    <xf numFmtId="43" fontId="9" fillId="0" borderId="1" xfId="1" applyFont="1" applyBorder="1" applyAlignment="1">
      <alignment horizontal="left" vertical="center" wrapText="1"/>
    </xf>
    <xf numFmtId="43" fontId="0" fillId="0" borderId="0" xfId="0" applyNumberFormat="1"/>
    <xf numFmtId="43" fontId="5" fillId="0" borderId="6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0" fillId="2" borderId="0" xfId="0" applyNumberFormat="1" applyFill="1"/>
    <xf numFmtId="43" fontId="0" fillId="2" borderId="0" xfId="1" applyFont="1" applyFill="1"/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 applyAlignment="1">
      <alignment horizontal="center"/>
    </xf>
    <xf numFmtId="43" fontId="0" fillId="3" borderId="0" xfId="0" applyNumberFormat="1" applyFill="1"/>
    <xf numFmtId="43" fontId="6" fillId="0" borderId="1" xfId="1" applyFont="1" applyFill="1" applyBorder="1" applyAlignment="1">
      <alignment horizontal="left" vertical="center" wrapText="1"/>
    </xf>
    <xf numFmtId="43" fontId="14" fillId="0" borderId="1" xfId="1" applyFont="1" applyFill="1" applyBorder="1" applyAlignment="1">
      <alignment horizontal="left" vertical="center" wrapText="1"/>
    </xf>
    <xf numFmtId="43" fontId="14" fillId="0" borderId="1" xfId="1" applyFont="1" applyFill="1" applyBorder="1" applyAlignment="1">
      <alignment horizontal="right" vertical="center"/>
    </xf>
    <xf numFmtId="0" fontId="14" fillId="0" borderId="1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 shrinkToFit="1"/>
    </xf>
    <xf numFmtId="43" fontId="6" fillId="0" borderId="1" xfId="1" applyFont="1" applyFill="1" applyBorder="1" applyAlignment="1">
      <alignment horizontal="right" wrapText="1" shrinkToFit="1"/>
    </xf>
    <xf numFmtId="43" fontId="5" fillId="0" borderId="2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43" fontId="5" fillId="0" borderId="4" xfId="1" applyFont="1" applyBorder="1" applyAlignment="1">
      <alignment vertical="top"/>
    </xf>
    <xf numFmtId="43" fontId="9" fillId="0" borderId="1" xfId="1" applyFont="1" applyBorder="1" applyAlignment="1">
      <alignment horizontal="right" wrapText="1" shrinkToFit="1"/>
    </xf>
    <xf numFmtId="43" fontId="6" fillId="0" borderId="6" xfId="1" applyFont="1" applyFill="1" applyBorder="1" applyAlignment="1">
      <alignment horizontal="center"/>
    </xf>
    <xf numFmtId="43" fontId="0" fillId="0" borderId="0" xfId="1" applyFont="1"/>
    <xf numFmtId="0" fontId="0" fillId="0" borderId="0" xfId="0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4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8" Type="http://schemas.openxmlformats.org/officeDocument/2006/relationships/externalLink" Target="externalLinks/externalLink1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865909</xdr:colOff>
      <xdr:row>2</xdr:row>
      <xdr:rowOff>38965</xdr:rowOff>
    </xdr:from>
    <xdr:to>
      <xdr:col>12</xdr:col>
      <xdr:colOff>1120330</xdr:colOff>
      <xdr:row>6</xdr:row>
      <xdr:rowOff>36483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D0E939-99FA-E8CE-4266-061B1AFA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7727" y="627783"/>
          <a:ext cx="5077534" cy="828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12</xdr:col>
      <xdr:colOff>39116</xdr:colOff>
      <xdr:row>27</xdr:row>
      <xdr:rowOff>181718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3B7AC-96B1-91D2-6252-AA1E1E37F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7278116" cy="5325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37">
          <cell r="E37">
            <v>2122841767.9400003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222"/>
  <sheetViews>
    <sheetView tabSelected="1" zoomScale="110" zoomScaleNormal="110" workbookViewId="0">
      <pane xSplit="4" ySplit="9" topLeftCell="E70" activePane="bottomRight" state="frozen"/>
      <selection pane="topRight" activeCell="C1" sqref="C1"/>
      <selection pane="bottomLeft" activeCell="A7" sqref="A7"/>
      <selection pane="bottomRight" activeCell="I78" sqref="I78"/>
    </sheetView>
  </sheetViews>
  <sheetFormatPr defaultColWidth="20" defaultRowHeight="16.5" x14ac:dyDescent="0.3"/>
  <cols>
    <col min="1" max="1" width="6.7109375" style="1" customWidth="1"/>
    <col min="2" max="2" width="18.140625" style="108" bestFit="1" customWidth="1"/>
    <col min="3" max="3" width="18.28515625" style="108" bestFit="1" customWidth="1"/>
    <col min="4" max="4" width="20.7109375" style="45" bestFit="1" customWidth="1"/>
    <col min="5" max="5" width="16.140625" style="1" bestFit="1" customWidth="1"/>
    <col min="6" max="6" width="12.28515625" style="1" bestFit="1" customWidth="1"/>
    <col min="7" max="7" width="13.28515625" style="1" bestFit="1" customWidth="1"/>
    <col min="8" max="8" width="15.140625" style="2" bestFit="1" customWidth="1"/>
    <col min="9" max="9" width="6.28515625" style="124" bestFit="1" customWidth="1"/>
    <col min="10" max="10" width="11" style="2" bestFit="1" customWidth="1"/>
    <col min="11" max="11" width="17.85546875" style="2" bestFit="1" customWidth="1"/>
    <col min="12" max="12" width="8.7109375" style="1" bestFit="1" customWidth="1"/>
    <col min="13" max="13" width="18.28515625" style="2" bestFit="1" customWidth="1"/>
    <col min="14" max="14" width="14.7109375" style="1" bestFit="1" customWidth="1"/>
    <col min="15" max="15" width="19.140625" style="2" bestFit="1" customWidth="1"/>
    <col min="16" max="16" width="16.140625" style="2" bestFit="1" customWidth="1"/>
    <col min="17" max="16384" width="20" style="1"/>
  </cols>
  <sheetData>
    <row r="1" spans="2:16" ht="29.25" customHeight="1" x14ac:dyDescent="0.3">
      <c r="B1" s="185"/>
      <c r="C1" s="185"/>
      <c r="D1" s="186"/>
      <c r="E1" s="186"/>
      <c r="F1" s="186"/>
      <c r="G1" s="186"/>
      <c r="H1" s="186"/>
      <c r="I1" s="123"/>
      <c r="J1" s="1"/>
      <c r="K1" s="1"/>
      <c r="M1" s="1"/>
    </row>
    <row r="2" spans="2:16" ht="17.25" customHeight="1" x14ac:dyDescent="0.3">
      <c r="B2" s="107"/>
      <c r="C2" s="107"/>
      <c r="D2" s="100"/>
      <c r="E2" s="100"/>
      <c r="F2" s="100"/>
      <c r="G2" s="100"/>
      <c r="H2" s="100"/>
      <c r="I2" s="123"/>
      <c r="J2" s="1"/>
      <c r="K2" s="1"/>
      <c r="M2" s="1"/>
    </row>
    <row r="3" spans="2:16" x14ac:dyDescent="0.3">
      <c r="B3" s="4" t="s">
        <v>9</v>
      </c>
      <c r="C3" s="4"/>
      <c r="D3" s="39"/>
    </row>
    <row r="4" spans="2:16" x14ac:dyDescent="0.3">
      <c r="B4" s="52" t="s">
        <v>77</v>
      </c>
      <c r="C4" s="110">
        <f>'Land Details'!D22</f>
        <v>449212</v>
      </c>
      <c r="D4" s="28" t="s">
        <v>22</v>
      </c>
      <c r="H4" s="1"/>
      <c r="I4" s="125"/>
      <c r="L4" s="2"/>
      <c r="O4" s="1"/>
      <c r="P4" s="1"/>
    </row>
    <row r="5" spans="2:16" x14ac:dyDescent="0.3">
      <c r="B5" s="9" t="s">
        <v>5</v>
      </c>
      <c r="C5" s="114">
        <v>700</v>
      </c>
      <c r="D5" s="10">
        <f>ROUND(415*1.5,0)</f>
        <v>623</v>
      </c>
      <c r="E5" s="113">
        <f>E6/C4</f>
        <v>542.42426070541308</v>
      </c>
      <c r="F5" s="46">
        <f>C5*4046</f>
        <v>2832200</v>
      </c>
      <c r="G5" s="113"/>
      <c r="H5" s="1"/>
      <c r="L5" s="2"/>
      <c r="O5" s="1"/>
      <c r="P5" s="1"/>
    </row>
    <row r="6" spans="2:16" x14ac:dyDescent="0.3">
      <c r="B6" s="29" t="s">
        <v>13</v>
      </c>
      <c r="C6" s="115">
        <f>C4*C5</f>
        <v>314448400</v>
      </c>
      <c r="D6" s="10">
        <f>D5*C4</f>
        <v>279859076</v>
      </c>
      <c r="E6" s="113">
        <v>243663487</v>
      </c>
      <c r="G6" s="13"/>
      <c r="H6" s="1"/>
      <c r="L6" s="2"/>
      <c r="O6" s="1"/>
      <c r="P6" s="1"/>
    </row>
    <row r="7" spans="2:16" ht="13.5" customHeight="1" x14ac:dyDescent="0.3">
      <c r="B7" s="30"/>
      <c r="C7" s="30"/>
      <c r="D7" s="40"/>
      <c r="E7" s="31"/>
      <c r="G7" s="13"/>
      <c r="H7" s="15"/>
      <c r="I7" s="125"/>
      <c r="L7" s="2"/>
      <c r="N7" s="2"/>
      <c r="O7" s="1"/>
      <c r="P7" s="1"/>
    </row>
    <row r="8" spans="2:16" ht="19.5" customHeight="1" x14ac:dyDescent="0.3">
      <c r="B8" s="192" t="s">
        <v>23</v>
      </c>
      <c r="C8" s="192"/>
      <c r="D8" s="192"/>
      <c r="F8" s="12"/>
    </row>
    <row r="9" spans="2:16" s="122" customFormat="1" ht="25.5" x14ac:dyDescent="0.25">
      <c r="B9" s="120" t="s">
        <v>395</v>
      </c>
      <c r="C9" s="120" t="s">
        <v>396</v>
      </c>
      <c r="D9" s="121" t="s">
        <v>21</v>
      </c>
      <c r="E9" s="120" t="s">
        <v>0</v>
      </c>
      <c r="F9" s="120" t="s">
        <v>1</v>
      </c>
      <c r="G9" s="120" t="s">
        <v>2</v>
      </c>
      <c r="H9" s="120" t="s">
        <v>14</v>
      </c>
      <c r="I9" s="126" t="s">
        <v>397</v>
      </c>
      <c r="J9" s="120" t="s">
        <v>449</v>
      </c>
      <c r="K9" s="120" t="s">
        <v>3</v>
      </c>
      <c r="L9" s="120" t="s">
        <v>4</v>
      </c>
      <c r="M9" s="120" t="s">
        <v>11</v>
      </c>
      <c r="N9" s="120" t="s">
        <v>15</v>
      </c>
      <c r="O9" s="120" t="s">
        <v>12</v>
      </c>
      <c r="P9" s="120" t="s">
        <v>394</v>
      </c>
    </row>
    <row r="10" spans="2:16" s="17" customFormat="1" x14ac:dyDescent="0.2">
      <c r="B10" s="16"/>
      <c r="C10" s="16"/>
      <c r="D10" s="41" t="s">
        <v>25</v>
      </c>
      <c r="E10" s="32" t="s">
        <v>398</v>
      </c>
      <c r="F10" s="32"/>
      <c r="G10" s="32" t="s">
        <v>398</v>
      </c>
      <c r="H10" s="101" t="s">
        <v>399</v>
      </c>
      <c r="I10" s="127" t="s">
        <v>398</v>
      </c>
      <c r="J10" s="32" t="s">
        <v>398</v>
      </c>
      <c r="K10" s="101"/>
      <c r="L10" s="101"/>
      <c r="M10" s="101" t="s">
        <v>399</v>
      </c>
      <c r="N10" s="101" t="s">
        <v>399</v>
      </c>
      <c r="O10" s="101" t="s">
        <v>399</v>
      </c>
      <c r="P10" s="101" t="s">
        <v>399</v>
      </c>
    </row>
    <row r="11" spans="2:16" s="17" customFormat="1" ht="33" x14ac:dyDescent="0.2">
      <c r="B11" s="16" t="s">
        <v>408</v>
      </c>
      <c r="C11" s="16"/>
      <c r="D11" s="41"/>
      <c r="E11" s="32"/>
      <c r="F11" s="32"/>
      <c r="G11" s="32"/>
      <c r="H11" s="101"/>
      <c r="I11" s="127"/>
      <c r="J11" s="32"/>
      <c r="K11" s="101"/>
      <c r="L11" s="101"/>
      <c r="M11" s="101"/>
      <c r="N11" s="101"/>
      <c r="O11" s="101"/>
      <c r="P11" s="101"/>
    </row>
    <row r="12" spans="2:16" s="17" customFormat="1" x14ac:dyDescent="0.3">
      <c r="B12" s="55" t="s">
        <v>29</v>
      </c>
      <c r="C12" s="55" t="s">
        <v>26</v>
      </c>
      <c r="D12" s="61">
        <v>1103.3</v>
      </c>
      <c r="E12" s="55">
        <v>2005</v>
      </c>
      <c r="F12" s="55">
        <v>2024</v>
      </c>
      <c r="G12" s="55">
        <v>40</v>
      </c>
      <c r="H12" s="102">
        <v>10000</v>
      </c>
      <c r="I12" s="128">
        <f>F12-E12</f>
        <v>19</v>
      </c>
      <c r="J12" s="74">
        <f>G12-I12</f>
        <v>21</v>
      </c>
      <c r="K12" s="103">
        <f>IF(I12&gt;=5,90*I12/G12,0)</f>
        <v>42.75</v>
      </c>
      <c r="L12" s="104">
        <f>H12/100*K12</f>
        <v>4275</v>
      </c>
      <c r="M12" s="102">
        <f>H12-L12</f>
        <v>5725</v>
      </c>
      <c r="N12" s="102">
        <f>P12-O12</f>
        <v>4716607.5</v>
      </c>
      <c r="O12" s="102">
        <f>M12*D12</f>
        <v>6316392.5</v>
      </c>
      <c r="P12" s="102">
        <f>H12*D12</f>
        <v>11033000</v>
      </c>
    </row>
    <row r="13" spans="2:16" s="17" customFormat="1" ht="33" x14ac:dyDescent="0.3">
      <c r="B13" s="55" t="s">
        <v>30</v>
      </c>
      <c r="C13" s="55" t="s">
        <v>27</v>
      </c>
      <c r="D13" s="61">
        <v>154.5</v>
      </c>
      <c r="E13" s="55">
        <v>2005</v>
      </c>
      <c r="F13" s="55">
        <v>2024</v>
      </c>
      <c r="G13" s="55">
        <v>60</v>
      </c>
      <c r="H13" s="102">
        <v>15000</v>
      </c>
      <c r="I13" s="128">
        <f t="shared" ref="I13:I48" si="0">F13-E13</f>
        <v>19</v>
      </c>
      <c r="J13" s="74">
        <f t="shared" ref="J13:J48" si="1">G13-I13</f>
        <v>41</v>
      </c>
      <c r="K13" s="103">
        <f t="shared" ref="K13:K48" si="2">IF(I13&gt;=5,90*I13/G13,0)</f>
        <v>28.5</v>
      </c>
      <c r="L13" s="104">
        <f t="shared" ref="L13:L48" si="3">H13/100*K13</f>
        <v>4275</v>
      </c>
      <c r="M13" s="102">
        <f t="shared" ref="M13:M48" si="4">H13-L13</f>
        <v>10725</v>
      </c>
      <c r="N13" s="102">
        <f t="shared" ref="N13:N47" si="5">P13-O13</f>
        <v>660487.5</v>
      </c>
      <c r="O13" s="102">
        <f t="shared" ref="O13:O47" si="6">M13*D13</f>
        <v>1657012.5</v>
      </c>
      <c r="P13" s="102">
        <f t="shared" ref="P13:P47" si="7">H13*D13</f>
        <v>2317500</v>
      </c>
    </row>
    <row r="14" spans="2:16" s="17" customFormat="1" x14ac:dyDescent="0.3">
      <c r="B14" s="55" t="s">
        <v>31</v>
      </c>
      <c r="C14" s="55" t="s">
        <v>26</v>
      </c>
      <c r="D14" s="61">
        <v>12413.48</v>
      </c>
      <c r="E14" s="55">
        <v>2016</v>
      </c>
      <c r="F14" s="55">
        <v>2024</v>
      </c>
      <c r="G14" s="55">
        <v>40</v>
      </c>
      <c r="H14" s="102">
        <v>16500</v>
      </c>
      <c r="I14" s="128">
        <f t="shared" si="0"/>
        <v>8</v>
      </c>
      <c r="J14" s="74">
        <f t="shared" si="1"/>
        <v>32</v>
      </c>
      <c r="K14" s="103">
        <f t="shared" si="2"/>
        <v>18</v>
      </c>
      <c r="L14" s="104">
        <f t="shared" si="3"/>
        <v>2970</v>
      </c>
      <c r="M14" s="102">
        <f t="shared" si="4"/>
        <v>13530</v>
      </c>
      <c r="N14" s="102">
        <f t="shared" si="5"/>
        <v>36868035.599999994</v>
      </c>
      <c r="O14" s="102">
        <f t="shared" si="6"/>
        <v>167954384.40000001</v>
      </c>
      <c r="P14" s="102">
        <f t="shared" si="7"/>
        <v>204822420</v>
      </c>
    </row>
    <row r="15" spans="2:16" s="17" customFormat="1" x14ac:dyDescent="0.3">
      <c r="B15" s="55" t="s">
        <v>32</v>
      </c>
      <c r="C15" s="55" t="s">
        <v>26</v>
      </c>
      <c r="D15" s="61">
        <v>62.5</v>
      </c>
      <c r="E15" s="55">
        <v>2016</v>
      </c>
      <c r="F15" s="55">
        <v>2024</v>
      </c>
      <c r="G15" s="55">
        <v>40</v>
      </c>
      <c r="H15" s="102">
        <v>5500</v>
      </c>
      <c r="I15" s="128">
        <f t="shared" si="0"/>
        <v>8</v>
      </c>
      <c r="J15" s="74">
        <f t="shared" si="1"/>
        <v>32</v>
      </c>
      <c r="K15" s="103">
        <f t="shared" si="2"/>
        <v>18</v>
      </c>
      <c r="L15" s="104">
        <f t="shared" si="3"/>
        <v>990</v>
      </c>
      <c r="M15" s="102">
        <f t="shared" si="4"/>
        <v>4510</v>
      </c>
      <c r="N15" s="102">
        <f t="shared" si="5"/>
        <v>61875</v>
      </c>
      <c r="O15" s="102">
        <f t="shared" si="6"/>
        <v>281875</v>
      </c>
      <c r="P15" s="102">
        <f t="shared" si="7"/>
        <v>343750</v>
      </c>
    </row>
    <row r="16" spans="2:16" s="17" customFormat="1" ht="49.5" x14ac:dyDescent="0.3">
      <c r="B16" s="55" t="s">
        <v>33</v>
      </c>
      <c r="C16" s="55" t="s">
        <v>26</v>
      </c>
      <c r="D16" s="61">
        <v>120</v>
      </c>
      <c r="E16" s="55">
        <v>2016</v>
      </c>
      <c r="F16" s="55">
        <v>2024</v>
      </c>
      <c r="G16" s="55">
        <v>40</v>
      </c>
      <c r="H16" s="102">
        <v>12000</v>
      </c>
      <c r="I16" s="128">
        <f t="shared" si="0"/>
        <v>8</v>
      </c>
      <c r="J16" s="74">
        <f t="shared" si="1"/>
        <v>32</v>
      </c>
      <c r="K16" s="103">
        <f t="shared" si="2"/>
        <v>18</v>
      </c>
      <c r="L16" s="104">
        <f t="shared" si="3"/>
        <v>2160</v>
      </c>
      <c r="M16" s="102">
        <f t="shared" si="4"/>
        <v>9840</v>
      </c>
      <c r="N16" s="102">
        <f t="shared" si="5"/>
        <v>259200</v>
      </c>
      <c r="O16" s="102">
        <f t="shared" si="6"/>
        <v>1180800</v>
      </c>
      <c r="P16" s="102">
        <f t="shared" si="7"/>
        <v>1440000</v>
      </c>
    </row>
    <row r="17" spans="2:16" s="17" customFormat="1" ht="33" x14ac:dyDescent="0.3">
      <c r="B17" s="55" t="s">
        <v>34</v>
      </c>
      <c r="C17" s="55" t="s">
        <v>27</v>
      </c>
      <c r="D17" s="61">
        <v>46.75</v>
      </c>
      <c r="E17" s="55">
        <v>2016</v>
      </c>
      <c r="F17" s="55">
        <v>2024</v>
      </c>
      <c r="G17" s="55">
        <v>60</v>
      </c>
      <c r="H17" s="102">
        <v>18000</v>
      </c>
      <c r="I17" s="128">
        <f t="shared" si="0"/>
        <v>8</v>
      </c>
      <c r="J17" s="74">
        <f t="shared" si="1"/>
        <v>52</v>
      </c>
      <c r="K17" s="103">
        <f t="shared" si="2"/>
        <v>12</v>
      </c>
      <c r="L17" s="104">
        <f t="shared" si="3"/>
        <v>2160</v>
      </c>
      <c r="M17" s="102">
        <f t="shared" si="4"/>
        <v>15840</v>
      </c>
      <c r="N17" s="102">
        <f t="shared" si="5"/>
        <v>100980</v>
      </c>
      <c r="O17" s="102">
        <f t="shared" si="6"/>
        <v>740520</v>
      </c>
      <c r="P17" s="102">
        <f t="shared" si="7"/>
        <v>841500</v>
      </c>
    </row>
    <row r="18" spans="2:16" s="17" customFormat="1" ht="33" x14ac:dyDescent="0.3">
      <c r="B18" s="55"/>
      <c r="C18" s="55" t="s">
        <v>27</v>
      </c>
      <c r="D18" s="61">
        <v>10.89</v>
      </c>
      <c r="E18" s="55">
        <v>2016</v>
      </c>
      <c r="F18" s="55">
        <v>2024</v>
      </c>
      <c r="G18" s="55">
        <v>60</v>
      </c>
      <c r="H18" s="102">
        <v>15000</v>
      </c>
      <c r="I18" s="128">
        <f t="shared" si="0"/>
        <v>8</v>
      </c>
      <c r="J18" s="74">
        <f t="shared" si="1"/>
        <v>52</v>
      </c>
      <c r="K18" s="103">
        <f t="shared" si="2"/>
        <v>12</v>
      </c>
      <c r="L18" s="104">
        <f t="shared" si="3"/>
        <v>1800</v>
      </c>
      <c r="M18" s="102">
        <f t="shared" si="4"/>
        <v>13200</v>
      </c>
      <c r="N18" s="102">
        <f t="shared" si="5"/>
        <v>19602</v>
      </c>
      <c r="O18" s="102">
        <f t="shared" si="6"/>
        <v>143748</v>
      </c>
      <c r="P18" s="102">
        <f t="shared" si="7"/>
        <v>163350</v>
      </c>
    </row>
    <row r="19" spans="2:16" s="17" customFormat="1" ht="49.5" x14ac:dyDescent="0.3">
      <c r="B19" s="55" t="s">
        <v>35</v>
      </c>
      <c r="C19" s="55" t="s">
        <v>26</v>
      </c>
      <c r="D19" s="61">
        <v>353.5</v>
      </c>
      <c r="E19" s="55">
        <v>2008</v>
      </c>
      <c r="F19" s="55">
        <v>2024</v>
      </c>
      <c r="G19" s="55">
        <v>40</v>
      </c>
      <c r="H19" s="102">
        <v>9500</v>
      </c>
      <c r="I19" s="128">
        <f t="shared" si="0"/>
        <v>16</v>
      </c>
      <c r="J19" s="74">
        <f t="shared" si="1"/>
        <v>24</v>
      </c>
      <c r="K19" s="103">
        <f t="shared" si="2"/>
        <v>36</v>
      </c>
      <c r="L19" s="104">
        <f t="shared" si="3"/>
        <v>3420</v>
      </c>
      <c r="M19" s="102">
        <f t="shared" si="4"/>
        <v>6080</v>
      </c>
      <c r="N19" s="102">
        <f t="shared" si="5"/>
        <v>1208970</v>
      </c>
      <c r="O19" s="102">
        <f t="shared" si="6"/>
        <v>2149280</v>
      </c>
      <c r="P19" s="102">
        <f t="shared" si="7"/>
        <v>3358250</v>
      </c>
    </row>
    <row r="20" spans="2:16" s="17" customFormat="1" ht="33" x14ac:dyDescent="0.3">
      <c r="B20" s="55" t="s">
        <v>390</v>
      </c>
      <c r="C20" s="55" t="s">
        <v>26</v>
      </c>
      <c r="D20" s="61">
        <v>34354.26</v>
      </c>
      <c r="E20" s="55">
        <v>2005</v>
      </c>
      <c r="F20" s="55">
        <v>2024</v>
      </c>
      <c r="G20" s="55">
        <v>40</v>
      </c>
      <c r="H20" s="102">
        <v>16500</v>
      </c>
      <c r="I20" s="128">
        <f t="shared" si="0"/>
        <v>19</v>
      </c>
      <c r="J20" s="74">
        <f t="shared" si="1"/>
        <v>21</v>
      </c>
      <c r="K20" s="103">
        <f t="shared" si="2"/>
        <v>42.75</v>
      </c>
      <c r="L20" s="104">
        <f t="shared" si="3"/>
        <v>7053.75</v>
      </c>
      <c r="M20" s="102">
        <f t="shared" si="4"/>
        <v>9446.25</v>
      </c>
      <c r="N20" s="102">
        <f t="shared" si="5"/>
        <v>242326361.47499996</v>
      </c>
      <c r="O20" s="102">
        <f t="shared" si="6"/>
        <v>324518928.52500004</v>
      </c>
      <c r="P20" s="102">
        <f t="shared" si="7"/>
        <v>566845290</v>
      </c>
    </row>
    <row r="21" spans="2:16" s="17" customFormat="1" ht="33" x14ac:dyDescent="0.3">
      <c r="B21" s="55" t="s">
        <v>36</v>
      </c>
      <c r="C21" s="55" t="s">
        <v>26</v>
      </c>
      <c r="D21" s="61">
        <v>3304</v>
      </c>
      <c r="E21" s="55">
        <v>2005</v>
      </c>
      <c r="F21" s="55">
        <v>2024</v>
      </c>
      <c r="G21" s="55">
        <v>40</v>
      </c>
      <c r="H21" s="102">
        <v>11500</v>
      </c>
      <c r="I21" s="128">
        <f t="shared" si="0"/>
        <v>19</v>
      </c>
      <c r="J21" s="74">
        <f t="shared" si="1"/>
        <v>21</v>
      </c>
      <c r="K21" s="103">
        <f t="shared" si="2"/>
        <v>42.75</v>
      </c>
      <c r="L21" s="104">
        <f t="shared" si="3"/>
        <v>4916.25</v>
      </c>
      <c r="M21" s="102">
        <f t="shared" si="4"/>
        <v>6583.75</v>
      </c>
      <c r="N21" s="102">
        <f t="shared" si="5"/>
        <v>16243290</v>
      </c>
      <c r="O21" s="102">
        <f t="shared" si="6"/>
        <v>21752710</v>
      </c>
      <c r="P21" s="102">
        <f t="shared" si="7"/>
        <v>37996000</v>
      </c>
    </row>
    <row r="22" spans="2:16" s="17" customFormat="1" ht="33" x14ac:dyDescent="0.3">
      <c r="B22" s="55" t="s">
        <v>37</v>
      </c>
      <c r="C22" s="55" t="s">
        <v>26</v>
      </c>
      <c r="D22" s="61">
        <v>28</v>
      </c>
      <c r="E22" s="55">
        <v>2005</v>
      </c>
      <c r="F22" s="55">
        <v>2024</v>
      </c>
      <c r="G22" s="55">
        <v>40</v>
      </c>
      <c r="H22" s="102">
        <v>9500</v>
      </c>
      <c r="I22" s="128">
        <f t="shared" si="0"/>
        <v>19</v>
      </c>
      <c r="J22" s="74">
        <f t="shared" si="1"/>
        <v>21</v>
      </c>
      <c r="K22" s="103">
        <f t="shared" si="2"/>
        <v>42.75</v>
      </c>
      <c r="L22" s="104">
        <f t="shared" si="3"/>
        <v>4061.25</v>
      </c>
      <c r="M22" s="102">
        <f t="shared" si="4"/>
        <v>5438.75</v>
      </c>
      <c r="N22" s="102">
        <f t="shared" si="5"/>
        <v>113715</v>
      </c>
      <c r="O22" s="102">
        <f t="shared" si="6"/>
        <v>152285</v>
      </c>
      <c r="P22" s="102">
        <f t="shared" si="7"/>
        <v>266000</v>
      </c>
    </row>
    <row r="23" spans="2:16" s="17" customFormat="1" ht="33" x14ac:dyDescent="0.3">
      <c r="B23" s="55" t="s">
        <v>38</v>
      </c>
      <c r="C23" s="55" t="s">
        <v>27</v>
      </c>
      <c r="D23" s="61">
        <v>73.97</v>
      </c>
      <c r="E23" s="55">
        <v>2005</v>
      </c>
      <c r="F23" s="55">
        <v>2024</v>
      </c>
      <c r="G23" s="55">
        <v>60</v>
      </c>
      <c r="H23" s="102">
        <v>13500</v>
      </c>
      <c r="I23" s="128">
        <f t="shared" si="0"/>
        <v>19</v>
      </c>
      <c r="J23" s="74">
        <f t="shared" si="1"/>
        <v>41</v>
      </c>
      <c r="K23" s="103">
        <f t="shared" si="2"/>
        <v>28.5</v>
      </c>
      <c r="L23" s="104">
        <f t="shared" si="3"/>
        <v>3847.5</v>
      </c>
      <c r="M23" s="102">
        <f t="shared" si="4"/>
        <v>9652.5</v>
      </c>
      <c r="N23" s="102">
        <f t="shared" si="5"/>
        <v>284599.57499999995</v>
      </c>
      <c r="O23" s="102">
        <f t="shared" si="6"/>
        <v>713995.42500000005</v>
      </c>
      <c r="P23" s="102">
        <f t="shared" si="7"/>
        <v>998595</v>
      </c>
    </row>
    <row r="24" spans="2:16" s="17" customFormat="1" ht="33" x14ac:dyDescent="0.3">
      <c r="B24" s="55" t="s">
        <v>39</v>
      </c>
      <c r="C24" s="55" t="s">
        <v>26</v>
      </c>
      <c r="D24" s="61">
        <v>112.5</v>
      </c>
      <c r="E24" s="55">
        <v>2005</v>
      </c>
      <c r="F24" s="55">
        <v>2024</v>
      </c>
      <c r="G24" s="55">
        <v>40</v>
      </c>
      <c r="H24" s="102">
        <v>10500</v>
      </c>
      <c r="I24" s="128">
        <f t="shared" si="0"/>
        <v>19</v>
      </c>
      <c r="J24" s="74">
        <f t="shared" si="1"/>
        <v>21</v>
      </c>
      <c r="K24" s="103">
        <f t="shared" si="2"/>
        <v>42.75</v>
      </c>
      <c r="L24" s="104">
        <f t="shared" si="3"/>
        <v>4488.75</v>
      </c>
      <c r="M24" s="102">
        <f t="shared" si="4"/>
        <v>6011.25</v>
      </c>
      <c r="N24" s="102">
        <f t="shared" si="5"/>
        <v>504984.375</v>
      </c>
      <c r="O24" s="102">
        <f t="shared" si="6"/>
        <v>676265.625</v>
      </c>
      <c r="P24" s="102">
        <f t="shared" si="7"/>
        <v>1181250</v>
      </c>
    </row>
    <row r="25" spans="2:16" s="17" customFormat="1" ht="33" x14ac:dyDescent="0.3">
      <c r="B25" s="55" t="s">
        <v>40</v>
      </c>
      <c r="C25" s="55" t="s">
        <v>26</v>
      </c>
      <c r="D25" s="61">
        <v>61.2</v>
      </c>
      <c r="E25" s="55">
        <v>2005</v>
      </c>
      <c r="F25" s="55">
        <v>2024</v>
      </c>
      <c r="G25" s="55">
        <v>40</v>
      </c>
      <c r="H25" s="102">
        <v>3000</v>
      </c>
      <c r="I25" s="128">
        <f t="shared" si="0"/>
        <v>19</v>
      </c>
      <c r="J25" s="74">
        <f t="shared" si="1"/>
        <v>21</v>
      </c>
      <c r="K25" s="103">
        <f t="shared" si="2"/>
        <v>42.75</v>
      </c>
      <c r="L25" s="104">
        <f t="shared" si="3"/>
        <v>1282.5</v>
      </c>
      <c r="M25" s="102">
        <f t="shared" si="4"/>
        <v>1717.5</v>
      </c>
      <c r="N25" s="102">
        <f t="shared" si="5"/>
        <v>78489</v>
      </c>
      <c r="O25" s="102">
        <f t="shared" si="6"/>
        <v>105111</v>
      </c>
      <c r="P25" s="102">
        <f t="shared" si="7"/>
        <v>183600</v>
      </c>
    </row>
    <row r="26" spans="2:16" s="17" customFormat="1" ht="33" x14ac:dyDescent="0.3">
      <c r="B26" s="55" t="s">
        <v>41</v>
      </c>
      <c r="C26" s="55" t="s">
        <v>26</v>
      </c>
      <c r="D26" s="61">
        <v>112.5</v>
      </c>
      <c r="E26" s="55">
        <v>2005</v>
      </c>
      <c r="F26" s="55">
        <v>2024</v>
      </c>
      <c r="G26" s="55">
        <v>40</v>
      </c>
      <c r="H26" s="102">
        <v>4500</v>
      </c>
      <c r="I26" s="128">
        <f t="shared" si="0"/>
        <v>19</v>
      </c>
      <c r="J26" s="74">
        <f t="shared" si="1"/>
        <v>21</v>
      </c>
      <c r="K26" s="103">
        <f t="shared" si="2"/>
        <v>42.75</v>
      </c>
      <c r="L26" s="104">
        <f t="shared" si="3"/>
        <v>1923.75</v>
      </c>
      <c r="M26" s="102">
        <f t="shared" si="4"/>
        <v>2576.25</v>
      </c>
      <c r="N26" s="102">
        <f t="shared" si="5"/>
        <v>216421.875</v>
      </c>
      <c r="O26" s="102">
        <f t="shared" si="6"/>
        <v>289828.125</v>
      </c>
      <c r="P26" s="102">
        <f t="shared" si="7"/>
        <v>506250</v>
      </c>
    </row>
    <row r="27" spans="2:16" s="17" customFormat="1" x14ac:dyDescent="0.3">
      <c r="B27" s="55" t="s">
        <v>42</v>
      </c>
      <c r="C27" s="55" t="s">
        <v>26</v>
      </c>
      <c r="D27" s="61">
        <v>6405</v>
      </c>
      <c r="E27" s="55">
        <v>2005</v>
      </c>
      <c r="F27" s="55">
        <v>2024</v>
      </c>
      <c r="G27" s="55">
        <v>40</v>
      </c>
      <c r="H27" s="102">
        <v>13500</v>
      </c>
      <c r="I27" s="128">
        <f t="shared" si="0"/>
        <v>19</v>
      </c>
      <c r="J27" s="74">
        <f t="shared" si="1"/>
        <v>21</v>
      </c>
      <c r="K27" s="103">
        <f t="shared" si="2"/>
        <v>42.75</v>
      </c>
      <c r="L27" s="104">
        <f t="shared" si="3"/>
        <v>5771.25</v>
      </c>
      <c r="M27" s="102">
        <f t="shared" si="4"/>
        <v>7728.75</v>
      </c>
      <c r="N27" s="102">
        <f t="shared" si="5"/>
        <v>36964856.25</v>
      </c>
      <c r="O27" s="102">
        <f t="shared" si="6"/>
        <v>49502643.75</v>
      </c>
      <c r="P27" s="102">
        <f t="shared" si="7"/>
        <v>86467500</v>
      </c>
    </row>
    <row r="28" spans="2:16" s="17" customFormat="1" ht="33" x14ac:dyDescent="0.3">
      <c r="B28" s="55" t="s">
        <v>43</v>
      </c>
      <c r="C28" s="55" t="s">
        <v>26</v>
      </c>
      <c r="D28" s="61">
        <v>221.38</v>
      </c>
      <c r="E28" s="55">
        <v>2005</v>
      </c>
      <c r="F28" s="55">
        <v>2024</v>
      </c>
      <c r="G28" s="55">
        <v>40</v>
      </c>
      <c r="H28" s="102">
        <v>11500</v>
      </c>
      <c r="I28" s="128">
        <f t="shared" si="0"/>
        <v>19</v>
      </c>
      <c r="J28" s="74">
        <f t="shared" si="1"/>
        <v>21</v>
      </c>
      <c r="K28" s="103">
        <f t="shared" si="2"/>
        <v>42.75</v>
      </c>
      <c r="L28" s="104">
        <f t="shared" si="3"/>
        <v>4916.25</v>
      </c>
      <c r="M28" s="102">
        <f t="shared" si="4"/>
        <v>6583.75</v>
      </c>
      <c r="N28" s="102">
        <f t="shared" si="5"/>
        <v>1088359.425</v>
      </c>
      <c r="O28" s="102">
        <f t="shared" si="6"/>
        <v>1457510.575</v>
      </c>
      <c r="P28" s="102">
        <f t="shared" si="7"/>
        <v>2545870</v>
      </c>
    </row>
    <row r="29" spans="2:16" s="17" customFormat="1" ht="33" x14ac:dyDescent="0.3">
      <c r="B29" s="55" t="s">
        <v>44</v>
      </c>
      <c r="C29" s="55" t="s">
        <v>26</v>
      </c>
      <c r="D29" s="61">
        <v>45</v>
      </c>
      <c r="E29" s="55">
        <v>2005</v>
      </c>
      <c r="F29" s="55">
        <v>2024</v>
      </c>
      <c r="G29" s="55">
        <v>40</v>
      </c>
      <c r="H29" s="102">
        <v>9500</v>
      </c>
      <c r="I29" s="128">
        <f t="shared" si="0"/>
        <v>19</v>
      </c>
      <c r="J29" s="74">
        <f t="shared" si="1"/>
        <v>21</v>
      </c>
      <c r="K29" s="103">
        <f t="shared" si="2"/>
        <v>42.75</v>
      </c>
      <c r="L29" s="104">
        <f t="shared" si="3"/>
        <v>4061.25</v>
      </c>
      <c r="M29" s="102">
        <f t="shared" si="4"/>
        <v>5438.75</v>
      </c>
      <c r="N29" s="102">
        <f t="shared" si="5"/>
        <v>182756.25</v>
      </c>
      <c r="O29" s="102">
        <f t="shared" si="6"/>
        <v>244743.75</v>
      </c>
      <c r="P29" s="102">
        <f t="shared" si="7"/>
        <v>427500</v>
      </c>
    </row>
    <row r="30" spans="2:16" s="17" customFormat="1" ht="33" x14ac:dyDescent="0.3">
      <c r="B30" s="55" t="s">
        <v>45</v>
      </c>
      <c r="C30" s="55" t="s">
        <v>26</v>
      </c>
      <c r="D30" s="61">
        <v>108</v>
      </c>
      <c r="E30" s="55">
        <v>2005</v>
      </c>
      <c r="F30" s="55">
        <v>2024</v>
      </c>
      <c r="G30" s="55">
        <v>40</v>
      </c>
      <c r="H30" s="99">
        <v>3500</v>
      </c>
      <c r="I30" s="128">
        <f t="shared" si="0"/>
        <v>19</v>
      </c>
      <c r="J30" s="74">
        <f>G30-I30</f>
        <v>21</v>
      </c>
      <c r="K30" s="103">
        <f>IF(I30&gt;=5,90*I30/G30,0)</f>
        <v>42.75</v>
      </c>
      <c r="L30" s="104">
        <f>H30/100*K30</f>
        <v>1496.25</v>
      </c>
      <c r="M30" s="102">
        <f>H30-L30</f>
        <v>2003.75</v>
      </c>
      <c r="N30" s="102">
        <f t="shared" si="5"/>
        <v>161595</v>
      </c>
      <c r="O30" s="102">
        <f>M30*D30</f>
        <v>216405</v>
      </c>
      <c r="P30" s="102">
        <f t="shared" si="7"/>
        <v>378000</v>
      </c>
    </row>
    <row r="31" spans="2:16" s="17" customFormat="1" ht="33" x14ac:dyDescent="0.3">
      <c r="B31" s="55" t="s">
        <v>46</v>
      </c>
      <c r="C31" s="55" t="s">
        <v>26</v>
      </c>
      <c r="D31" s="61">
        <v>72.89</v>
      </c>
      <c r="E31" s="55">
        <v>2005</v>
      </c>
      <c r="F31" s="55">
        <v>2024</v>
      </c>
      <c r="G31" s="55">
        <v>40</v>
      </c>
      <c r="H31" s="99">
        <v>12000</v>
      </c>
      <c r="I31" s="128">
        <f t="shared" si="0"/>
        <v>19</v>
      </c>
      <c r="J31" s="74">
        <f t="shared" si="1"/>
        <v>21</v>
      </c>
      <c r="K31" s="103">
        <f t="shared" si="2"/>
        <v>42.75</v>
      </c>
      <c r="L31" s="104">
        <f t="shared" si="3"/>
        <v>5130</v>
      </c>
      <c r="M31" s="102">
        <f t="shared" si="4"/>
        <v>6870</v>
      </c>
      <c r="N31" s="102">
        <f t="shared" si="5"/>
        <v>373925.7</v>
      </c>
      <c r="O31" s="102">
        <f t="shared" si="6"/>
        <v>500754.3</v>
      </c>
      <c r="P31" s="102">
        <f t="shared" si="7"/>
        <v>874680</v>
      </c>
    </row>
    <row r="32" spans="2:16" s="17" customFormat="1" ht="33" x14ac:dyDescent="0.3">
      <c r="B32" s="55" t="s">
        <v>47</v>
      </c>
      <c r="C32" s="55" t="s">
        <v>26</v>
      </c>
      <c r="D32" s="61">
        <v>110</v>
      </c>
      <c r="E32" s="55">
        <v>2005</v>
      </c>
      <c r="F32" s="55">
        <v>2024</v>
      </c>
      <c r="G32" s="55">
        <v>40</v>
      </c>
      <c r="H32" s="99">
        <v>9500</v>
      </c>
      <c r="I32" s="128">
        <f t="shared" si="0"/>
        <v>19</v>
      </c>
      <c r="J32" s="74">
        <f t="shared" si="1"/>
        <v>21</v>
      </c>
      <c r="K32" s="103">
        <f t="shared" si="2"/>
        <v>42.75</v>
      </c>
      <c r="L32" s="104">
        <f t="shared" si="3"/>
        <v>4061.25</v>
      </c>
      <c r="M32" s="102">
        <f t="shared" si="4"/>
        <v>5438.75</v>
      </c>
      <c r="N32" s="102">
        <f t="shared" si="5"/>
        <v>446737.5</v>
      </c>
      <c r="O32" s="102">
        <f t="shared" si="6"/>
        <v>598262.5</v>
      </c>
      <c r="P32" s="102">
        <f t="shared" si="7"/>
        <v>1045000</v>
      </c>
    </row>
    <row r="33" spans="2:16" s="17" customFormat="1" ht="33" x14ac:dyDescent="0.3">
      <c r="B33" s="55" t="s">
        <v>48</v>
      </c>
      <c r="C33" s="55" t="s">
        <v>26</v>
      </c>
      <c r="D33" s="61">
        <v>1125</v>
      </c>
      <c r="E33" s="55">
        <v>2005</v>
      </c>
      <c r="F33" s="55">
        <v>2024</v>
      </c>
      <c r="G33" s="55">
        <v>40</v>
      </c>
      <c r="H33" s="99">
        <v>11500</v>
      </c>
      <c r="I33" s="128">
        <f t="shared" si="0"/>
        <v>19</v>
      </c>
      <c r="J33" s="74">
        <f t="shared" si="1"/>
        <v>21</v>
      </c>
      <c r="K33" s="103">
        <f t="shared" si="2"/>
        <v>42.75</v>
      </c>
      <c r="L33" s="104">
        <f t="shared" si="3"/>
        <v>4916.25</v>
      </c>
      <c r="M33" s="102">
        <f t="shared" si="4"/>
        <v>6583.75</v>
      </c>
      <c r="N33" s="102">
        <f t="shared" si="5"/>
        <v>5530781.25</v>
      </c>
      <c r="O33" s="102">
        <f t="shared" si="6"/>
        <v>7406718.75</v>
      </c>
      <c r="P33" s="102">
        <f t="shared" si="7"/>
        <v>12937500</v>
      </c>
    </row>
    <row r="34" spans="2:16" s="17" customFormat="1" x14ac:dyDescent="0.3">
      <c r="B34" s="55" t="s">
        <v>49</v>
      </c>
      <c r="C34" s="55" t="s">
        <v>26</v>
      </c>
      <c r="D34" s="61">
        <v>5940</v>
      </c>
      <c r="E34" s="55">
        <v>2010</v>
      </c>
      <c r="F34" s="55">
        <v>2024</v>
      </c>
      <c r="G34" s="55">
        <v>40</v>
      </c>
      <c r="H34" s="99">
        <v>13500</v>
      </c>
      <c r="I34" s="128">
        <f t="shared" si="0"/>
        <v>14</v>
      </c>
      <c r="J34" s="74">
        <f t="shared" si="1"/>
        <v>26</v>
      </c>
      <c r="K34" s="103">
        <f t="shared" si="2"/>
        <v>31.5</v>
      </c>
      <c r="L34" s="104">
        <f t="shared" si="3"/>
        <v>4252.5</v>
      </c>
      <c r="M34" s="102">
        <f t="shared" si="4"/>
        <v>9247.5</v>
      </c>
      <c r="N34" s="102">
        <f t="shared" si="5"/>
        <v>25259850</v>
      </c>
      <c r="O34" s="102">
        <f t="shared" si="6"/>
        <v>54930150</v>
      </c>
      <c r="P34" s="102">
        <f t="shared" si="7"/>
        <v>80190000</v>
      </c>
    </row>
    <row r="35" spans="2:16" s="17" customFormat="1" ht="49.5" x14ac:dyDescent="0.3">
      <c r="B35" s="55" t="s">
        <v>50</v>
      </c>
      <c r="C35" s="55" t="s">
        <v>26</v>
      </c>
      <c r="D35" s="61">
        <v>1353</v>
      </c>
      <c r="E35" s="55">
        <v>2010</v>
      </c>
      <c r="F35" s="55">
        <v>2024</v>
      </c>
      <c r="G35" s="55">
        <v>40</v>
      </c>
      <c r="H35" s="99">
        <v>11500</v>
      </c>
      <c r="I35" s="128">
        <f t="shared" si="0"/>
        <v>14</v>
      </c>
      <c r="J35" s="74">
        <f t="shared" si="1"/>
        <v>26</v>
      </c>
      <c r="K35" s="103">
        <f t="shared" si="2"/>
        <v>31.5</v>
      </c>
      <c r="L35" s="104">
        <f t="shared" si="3"/>
        <v>3622.5</v>
      </c>
      <c r="M35" s="102">
        <f t="shared" si="4"/>
        <v>7877.5</v>
      </c>
      <c r="N35" s="102">
        <f t="shared" si="5"/>
        <v>4901242.5</v>
      </c>
      <c r="O35" s="102">
        <f t="shared" si="6"/>
        <v>10658257.5</v>
      </c>
      <c r="P35" s="102">
        <f t="shared" si="7"/>
        <v>15559500</v>
      </c>
    </row>
    <row r="36" spans="2:16" s="17" customFormat="1" x14ac:dyDescent="0.3">
      <c r="B36" s="55" t="s">
        <v>51</v>
      </c>
      <c r="C36" s="55" t="s">
        <v>26</v>
      </c>
      <c r="D36" s="61">
        <v>24</v>
      </c>
      <c r="E36" s="55">
        <v>2010</v>
      </c>
      <c r="F36" s="55">
        <v>2024</v>
      </c>
      <c r="G36" s="55">
        <v>40</v>
      </c>
      <c r="H36" s="99">
        <v>9500</v>
      </c>
      <c r="I36" s="128">
        <f t="shared" si="0"/>
        <v>14</v>
      </c>
      <c r="J36" s="74">
        <f t="shared" si="1"/>
        <v>26</v>
      </c>
      <c r="K36" s="103">
        <f t="shared" si="2"/>
        <v>31.5</v>
      </c>
      <c r="L36" s="104">
        <f t="shared" si="3"/>
        <v>2992.5</v>
      </c>
      <c r="M36" s="102">
        <f t="shared" si="4"/>
        <v>6507.5</v>
      </c>
      <c r="N36" s="102">
        <f t="shared" si="5"/>
        <v>71820</v>
      </c>
      <c r="O36" s="102">
        <f t="shared" si="6"/>
        <v>156180</v>
      </c>
      <c r="P36" s="102">
        <f t="shared" si="7"/>
        <v>228000</v>
      </c>
    </row>
    <row r="37" spans="2:16" s="17" customFormat="1" ht="49.5" x14ac:dyDescent="0.3">
      <c r="B37" s="55" t="s">
        <v>52</v>
      </c>
      <c r="C37" s="55" t="s">
        <v>27</v>
      </c>
      <c r="D37" s="61">
        <v>76</v>
      </c>
      <c r="E37" s="55">
        <v>2010</v>
      </c>
      <c r="F37" s="55">
        <v>2024</v>
      </c>
      <c r="G37" s="55">
        <v>60</v>
      </c>
      <c r="H37" s="99">
        <v>15000</v>
      </c>
      <c r="I37" s="128">
        <f t="shared" si="0"/>
        <v>14</v>
      </c>
      <c r="J37" s="74">
        <f t="shared" si="1"/>
        <v>46</v>
      </c>
      <c r="K37" s="103">
        <f t="shared" si="2"/>
        <v>21</v>
      </c>
      <c r="L37" s="104">
        <f t="shared" si="3"/>
        <v>3150</v>
      </c>
      <c r="M37" s="102">
        <f t="shared" si="4"/>
        <v>11850</v>
      </c>
      <c r="N37" s="102">
        <f t="shared" si="5"/>
        <v>239400</v>
      </c>
      <c r="O37" s="102">
        <f t="shared" si="6"/>
        <v>900600</v>
      </c>
      <c r="P37" s="102">
        <f t="shared" si="7"/>
        <v>1140000</v>
      </c>
    </row>
    <row r="38" spans="2:16" s="17" customFormat="1" ht="66" x14ac:dyDescent="0.3">
      <c r="B38" s="55" t="s">
        <v>53</v>
      </c>
      <c r="C38" s="55" t="s">
        <v>26</v>
      </c>
      <c r="D38" s="61">
        <v>450</v>
      </c>
      <c r="E38" s="55">
        <v>2010</v>
      </c>
      <c r="F38" s="55">
        <v>2024</v>
      </c>
      <c r="G38" s="55">
        <v>40</v>
      </c>
      <c r="H38" s="99">
        <v>4500</v>
      </c>
      <c r="I38" s="128">
        <f t="shared" si="0"/>
        <v>14</v>
      </c>
      <c r="J38" s="74">
        <f t="shared" si="1"/>
        <v>26</v>
      </c>
      <c r="K38" s="103">
        <f t="shared" si="2"/>
        <v>31.5</v>
      </c>
      <c r="L38" s="104">
        <f t="shared" si="3"/>
        <v>1417.5</v>
      </c>
      <c r="M38" s="102">
        <f t="shared" si="4"/>
        <v>3082.5</v>
      </c>
      <c r="N38" s="102">
        <f t="shared" si="5"/>
        <v>637875</v>
      </c>
      <c r="O38" s="102">
        <f t="shared" si="6"/>
        <v>1387125</v>
      </c>
      <c r="P38" s="102">
        <f t="shared" si="7"/>
        <v>2025000</v>
      </c>
    </row>
    <row r="39" spans="2:16" s="17" customFormat="1" x14ac:dyDescent="0.3">
      <c r="B39" s="55" t="s">
        <v>389</v>
      </c>
      <c r="C39" s="55" t="s">
        <v>26</v>
      </c>
      <c r="D39" s="61">
        <v>5670</v>
      </c>
      <c r="E39" s="55">
        <v>2018</v>
      </c>
      <c r="F39" s="55">
        <v>2024</v>
      </c>
      <c r="G39" s="55">
        <v>40</v>
      </c>
      <c r="H39" s="99">
        <v>13500</v>
      </c>
      <c r="I39" s="128">
        <f t="shared" si="0"/>
        <v>6</v>
      </c>
      <c r="J39" s="74">
        <f t="shared" si="1"/>
        <v>34</v>
      </c>
      <c r="K39" s="103">
        <f t="shared" si="2"/>
        <v>13.5</v>
      </c>
      <c r="L39" s="104">
        <f t="shared" si="3"/>
        <v>1822.5</v>
      </c>
      <c r="M39" s="102">
        <f t="shared" si="4"/>
        <v>11677.5</v>
      </c>
      <c r="N39" s="102">
        <f t="shared" si="5"/>
        <v>10333575</v>
      </c>
      <c r="O39" s="102">
        <f t="shared" si="6"/>
        <v>66211425</v>
      </c>
      <c r="P39" s="102">
        <f t="shared" si="7"/>
        <v>76545000</v>
      </c>
    </row>
    <row r="40" spans="2:16" s="17" customFormat="1" x14ac:dyDescent="0.3">
      <c r="B40" s="55" t="s">
        <v>54</v>
      </c>
      <c r="C40" s="55" t="s">
        <v>26</v>
      </c>
      <c r="D40" s="61">
        <v>180</v>
      </c>
      <c r="E40" s="55">
        <v>2018</v>
      </c>
      <c r="F40" s="55">
        <v>2024</v>
      </c>
      <c r="G40" s="55">
        <v>40</v>
      </c>
      <c r="H40" s="99">
        <v>9500</v>
      </c>
      <c r="I40" s="128">
        <f t="shared" si="0"/>
        <v>6</v>
      </c>
      <c r="J40" s="74">
        <f t="shared" si="1"/>
        <v>34</v>
      </c>
      <c r="K40" s="103">
        <f t="shared" si="2"/>
        <v>13.5</v>
      </c>
      <c r="L40" s="104">
        <f t="shared" si="3"/>
        <v>1282.5</v>
      </c>
      <c r="M40" s="102">
        <f t="shared" si="4"/>
        <v>8217.5</v>
      </c>
      <c r="N40" s="102">
        <f t="shared" si="5"/>
        <v>230850</v>
      </c>
      <c r="O40" s="102">
        <f t="shared" si="6"/>
        <v>1479150</v>
      </c>
      <c r="P40" s="102">
        <f t="shared" si="7"/>
        <v>1710000</v>
      </c>
    </row>
    <row r="41" spans="2:16" s="62" customFormat="1" x14ac:dyDescent="0.3">
      <c r="B41" s="63" t="s">
        <v>60</v>
      </c>
      <c r="C41" s="111" t="s">
        <v>27</v>
      </c>
      <c r="D41" s="64">
        <v>35.75</v>
      </c>
      <c r="E41" s="66">
        <v>2005</v>
      </c>
      <c r="F41" s="65">
        <v>2024</v>
      </c>
      <c r="G41" s="55">
        <v>60</v>
      </c>
      <c r="H41" s="99">
        <v>7150</v>
      </c>
      <c r="I41" s="128">
        <f t="shared" si="0"/>
        <v>19</v>
      </c>
      <c r="J41" s="74">
        <f t="shared" si="1"/>
        <v>41</v>
      </c>
      <c r="K41" s="103">
        <f t="shared" si="2"/>
        <v>28.5</v>
      </c>
      <c r="L41" s="104">
        <f t="shared" si="3"/>
        <v>2037.75</v>
      </c>
      <c r="M41" s="102">
        <f t="shared" si="4"/>
        <v>5112.25</v>
      </c>
      <c r="N41" s="102">
        <f t="shared" si="5"/>
        <v>72849.5625</v>
      </c>
      <c r="O41" s="102">
        <f t="shared" si="6"/>
        <v>182762.9375</v>
      </c>
      <c r="P41" s="102">
        <f t="shared" si="7"/>
        <v>255612.5</v>
      </c>
    </row>
    <row r="42" spans="2:16" s="62" customFormat="1" ht="33" x14ac:dyDescent="0.3">
      <c r="B42" s="63" t="s">
        <v>62</v>
      </c>
      <c r="C42" s="111" t="s">
        <v>26</v>
      </c>
      <c r="D42" s="64">
        <v>142.5</v>
      </c>
      <c r="E42" s="66">
        <v>2005</v>
      </c>
      <c r="F42" s="65">
        <v>2024</v>
      </c>
      <c r="G42" s="55">
        <v>40</v>
      </c>
      <c r="H42" s="99">
        <v>3500</v>
      </c>
      <c r="I42" s="128">
        <f t="shared" si="0"/>
        <v>19</v>
      </c>
      <c r="J42" s="74">
        <f t="shared" si="1"/>
        <v>21</v>
      </c>
      <c r="K42" s="103">
        <f t="shared" si="2"/>
        <v>42.75</v>
      </c>
      <c r="L42" s="104">
        <f t="shared" si="3"/>
        <v>1496.25</v>
      </c>
      <c r="M42" s="102">
        <f t="shared" si="4"/>
        <v>2003.75</v>
      </c>
      <c r="N42" s="102">
        <f t="shared" si="5"/>
        <v>213215.625</v>
      </c>
      <c r="O42" s="102">
        <f t="shared" si="6"/>
        <v>285534.375</v>
      </c>
      <c r="P42" s="102">
        <f t="shared" si="7"/>
        <v>498750</v>
      </c>
    </row>
    <row r="43" spans="2:16" s="62" customFormat="1" ht="66" x14ac:dyDescent="0.3">
      <c r="B43" s="63" t="s">
        <v>448</v>
      </c>
      <c r="C43" s="111" t="s">
        <v>27</v>
      </c>
      <c r="D43" s="64">
        <f>918.09*2</f>
        <v>1836.18</v>
      </c>
      <c r="E43" s="66">
        <v>2005</v>
      </c>
      <c r="F43" s="65">
        <v>2024</v>
      </c>
      <c r="G43" s="55">
        <v>60</v>
      </c>
      <c r="H43" s="99">
        <v>15000</v>
      </c>
      <c r="I43" s="128">
        <f t="shared" si="0"/>
        <v>19</v>
      </c>
      <c r="J43" s="74">
        <f t="shared" si="1"/>
        <v>41</v>
      </c>
      <c r="K43" s="103">
        <f t="shared" si="2"/>
        <v>28.5</v>
      </c>
      <c r="L43" s="104">
        <f t="shared" si="3"/>
        <v>4275</v>
      </c>
      <c r="M43" s="102">
        <f t="shared" si="4"/>
        <v>10725</v>
      </c>
      <c r="N43" s="102">
        <f t="shared" si="5"/>
        <v>7849669.5</v>
      </c>
      <c r="O43" s="102">
        <f t="shared" si="6"/>
        <v>19693030.5</v>
      </c>
      <c r="P43" s="102">
        <f t="shared" si="7"/>
        <v>27542700</v>
      </c>
    </row>
    <row r="44" spans="2:16" s="62" customFormat="1" x14ac:dyDescent="0.3">
      <c r="B44" s="63" t="s">
        <v>63</v>
      </c>
      <c r="C44" s="111" t="s">
        <v>26</v>
      </c>
      <c r="D44" s="64">
        <v>432</v>
      </c>
      <c r="E44" s="66">
        <v>2005</v>
      </c>
      <c r="F44" s="65">
        <v>2024</v>
      </c>
      <c r="G44" s="55">
        <v>40</v>
      </c>
      <c r="H44" s="99">
        <v>10500</v>
      </c>
      <c r="I44" s="128">
        <f t="shared" si="0"/>
        <v>19</v>
      </c>
      <c r="J44" s="74">
        <f t="shared" si="1"/>
        <v>21</v>
      </c>
      <c r="K44" s="103">
        <f t="shared" si="2"/>
        <v>42.75</v>
      </c>
      <c r="L44" s="104">
        <f t="shared" si="3"/>
        <v>4488.75</v>
      </c>
      <c r="M44" s="102">
        <f t="shared" si="4"/>
        <v>6011.25</v>
      </c>
      <c r="N44" s="102">
        <f t="shared" si="5"/>
        <v>1939140</v>
      </c>
      <c r="O44" s="102">
        <f t="shared" si="6"/>
        <v>2596860</v>
      </c>
      <c r="P44" s="102">
        <f t="shared" si="7"/>
        <v>4536000</v>
      </c>
    </row>
    <row r="45" spans="2:16" s="62" customFormat="1" x14ac:dyDescent="0.3">
      <c r="B45" s="63" t="s">
        <v>64</v>
      </c>
      <c r="C45" s="111" t="s">
        <v>26</v>
      </c>
      <c r="D45" s="64">
        <v>174</v>
      </c>
      <c r="E45" s="66">
        <v>2005</v>
      </c>
      <c r="F45" s="65">
        <v>2024</v>
      </c>
      <c r="G45" s="55">
        <v>40</v>
      </c>
      <c r="H45" s="99">
        <v>4500</v>
      </c>
      <c r="I45" s="128">
        <f t="shared" si="0"/>
        <v>19</v>
      </c>
      <c r="J45" s="74">
        <f t="shared" si="1"/>
        <v>21</v>
      </c>
      <c r="K45" s="103">
        <f t="shared" si="2"/>
        <v>42.75</v>
      </c>
      <c r="L45" s="104">
        <f t="shared" si="3"/>
        <v>1923.75</v>
      </c>
      <c r="M45" s="102">
        <f t="shared" si="4"/>
        <v>2576.25</v>
      </c>
      <c r="N45" s="102">
        <f t="shared" si="5"/>
        <v>334732.5</v>
      </c>
      <c r="O45" s="102">
        <f t="shared" si="6"/>
        <v>448267.5</v>
      </c>
      <c r="P45" s="102">
        <f t="shared" si="7"/>
        <v>783000</v>
      </c>
    </row>
    <row r="46" spans="2:16" s="62" customFormat="1" ht="33" x14ac:dyDescent="0.3">
      <c r="B46" s="116" t="s">
        <v>65</v>
      </c>
      <c r="C46" s="111" t="s">
        <v>26</v>
      </c>
      <c r="D46" s="64">
        <v>24</v>
      </c>
      <c r="E46" s="66">
        <v>2005</v>
      </c>
      <c r="F46" s="65">
        <v>2024</v>
      </c>
      <c r="G46" s="55">
        <v>40</v>
      </c>
      <c r="H46" s="99">
        <v>9500</v>
      </c>
      <c r="I46" s="128">
        <f t="shared" si="0"/>
        <v>19</v>
      </c>
      <c r="J46" s="74">
        <f t="shared" si="1"/>
        <v>21</v>
      </c>
      <c r="K46" s="103">
        <f t="shared" si="2"/>
        <v>42.75</v>
      </c>
      <c r="L46" s="104">
        <f t="shared" si="3"/>
        <v>4061.25</v>
      </c>
      <c r="M46" s="102">
        <f t="shared" si="4"/>
        <v>5438.75</v>
      </c>
      <c r="N46" s="102">
        <f t="shared" si="5"/>
        <v>97470</v>
      </c>
      <c r="O46" s="102">
        <f t="shared" si="6"/>
        <v>130530</v>
      </c>
      <c r="P46" s="102">
        <f t="shared" si="7"/>
        <v>228000</v>
      </c>
    </row>
    <row r="47" spans="2:16" s="62" customFormat="1" ht="66" x14ac:dyDescent="0.3">
      <c r="B47" s="116" t="s">
        <v>393</v>
      </c>
      <c r="C47" s="111" t="s">
        <v>27</v>
      </c>
      <c r="D47" s="64">
        <f>40.29*2</f>
        <v>80.58</v>
      </c>
      <c r="E47" s="66">
        <v>2005</v>
      </c>
      <c r="F47" s="65">
        <v>2024</v>
      </c>
      <c r="G47" s="55">
        <v>60</v>
      </c>
      <c r="H47" s="99">
        <v>15000</v>
      </c>
      <c r="I47" s="128">
        <f t="shared" si="0"/>
        <v>19</v>
      </c>
      <c r="J47" s="74">
        <f t="shared" si="1"/>
        <v>41</v>
      </c>
      <c r="K47" s="103">
        <f t="shared" si="2"/>
        <v>28.5</v>
      </c>
      <c r="L47" s="104">
        <f t="shared" si="3"/>
        <v>4275</v>
      </c>
      <c r="M47" s="102">
        <f t="shared" si="4"/>
        <v>10725</v>
      </c>
      <c r="N47" s="102">
        <f t="shared" si="5"/>
        <v>344479.5</v>
      </c>
      <c r="O47" s="102">
        <f t="shared" si="6"/>
        <v>864220.5</v>
      </c>
      <c r="P47" s="102">
        <f t="shared" si="7"/>
        <v>1208700</v>
      </c>
    </row>
    <row r="48" spans="2:16" s="62" customFormat="1" ht="33" x14ac:dyDescent="0.3">
      <c r="B48" s="116" t="s">
        <v>409</v>
      </c>
      <c r="C48" s="111" t="s">
        <v>26</v>
      </c>
      <c r="D48" s="64">
        <v>24993.24</v>
      </c>
      <c r="E48" s="66">
        <v>2023</v>
      </c>
      <c r="F48" s="65">
        <v>2024</v>
      </c>
      <c r="G48" s="55">
        <v>50</v>
      </c>
      <c r="H48" s="99">
        <v>11500</v>
      </c>
      <c r="I48" s="128">
        <f t="shared" si="0"/>
        <v>1</v>
      </c>
      <c r="J48" s="74">
        <f t="shared" si="1"/>
        <v>49</v>
      </c>
      <c r="K48" s="103">
        <f t="shared" si="2"/>
        <v>0</v>
      </c>
      <c r="L48" s="104">
        <f t="shared" si="3"/>
        <v>0</v>
      </c>
      <c r="M48" s="102">
        <f t="shared" si="4"/>
        <v>11500</v>
      </c>
      <c r="N48" s="102">
        <f t="shared" ref="N48" si="8">P48-O48</f>
        <v>0</v>
      </c>
      <c r="O48" s="102">
        <f t="shared" ref="O48" si="9">M48*D48</f>
        <v>287422260</v>
      </c>
      <c r="P48" s="102">
        <f t="shared" ref="P48" si="10">H48*D48</f>
        <v>287422260</v>
      </c>
    </row>
    <row r="49" spans="2:16" s="62" customFormat="1" x14ac:dyDescent="0.3">
      <c r="B49" s="162" t="s">
        <v>66</v>
      </c>
      <c r="C49" s="163"/>
      <c r="D49" s="164">
        <v>105</v>
      </c>
      <c r="E49" s="165">
        <v>2005</v>
      </c>
      <c r="F49" s="166">
        <v>2024</v>
      </c>
      <c r="G49" s="55">
        <v>60</v>
      </c>
      <c r="H49" s="167">
        <v>35000</v>
      </c>
      <c r="I49" s="168">
        <f>F49-E49</f>
        <v>19</v>
      </c>
      <c r="J49" s="74">
        <f>G49-I49</f>
        <v>41</v>
      </c>
      <c r="K49" s="103">
        <f>IF(I49&gt;=5,90*I49/G49,0)</f>
        <v>28.5</v>
      </c>
      <c r="L49" s="169">
        <f>H49/100*K49</f>
        <v>9975</v>
      </c>
      <c r="M49" s="170">
        <f>H49-L49</f>
        <v>25025</v>
      </c>
      <c r="N49" s="170">
        <f>P49-O49</f>
        <v>1047375</v>
      </c>
      <c r="O49" s="170">
        <f>M49*D49</f>
        <v>2627625</v>
      </c>
      <c r="P49" s="170">
        <f>H49*D49</f>
        <v>3675000</v>
      </c>
    </row>
    <row r="50" spans="2:16" s="62" customFormat="1" x14ac:dyDescent="0.3">
      <c r="B50" s="193" t="s">
        <v>410</v>
      </c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5"/>
      <c r="O50" s="174">
        <f>ROUND(SUM(O12:O49),0)</f>
        <v>1038534153</v>
      </c>
      <c r="P50" s="174">
        <f>ROUND(SUM(P12:P49),0)</f>
        <v>1440520328</v>
      </c>
    </row>
    <row r="51" spans="2:16" s="62" customFormat="1" x14ac:dyDescent="0.3">
      <c r="B51" s="116"/>
      <c r="C51" s="111"/>
      <c r="D51" s="64"/>
      <c r="E51" s="66"/>
      <c r="F51" s="65"/>
      <c r="G51" s="55"/>
      <c r="H51" s="99"/>
      <c r="I51" s="128"/>
      <c r="J51" s="74"/>
      <c r="K51" s="103"/>
      <c r="L51" s="104"/>
      <c r="M51" s="102"/>
      <c r="N51" s="102"/>
      <c r="O51" s="102"/>
      <c r="P51" s="102"/>
    </row>
    <row r="52" spans="2:16" s="62" customFormat="1" ht="49.5" x14ac:dyDescent="0.3">
      <c r="B52" s="152" t="s">
        <v>407</v>
      </c>
      <c r="C52" s="111"/>
      <c r="D52" s="64"/>
      <c r="E52" s="66"/>
      <c r="F52" s="65"/>
      <c r="G52" s="55"/>
      <c r="H52" s="99"/>
      <c r="I52" s="128"/>
      <c r="J52" s="74"/>
      <c r="K52" s="103"/>
      <c r="L52" s="104"/>
      <c r="M52" s="102"/>
      <c r="N52" s="102"/>
      <c r="O52" s="102"/>
      <c r="P52" s="102"/>
    </row>
    <row r="53" spans="2:16" s="62" customFormat="1" x14ac:dyDescent="0.3">
      <c r="B53" s="139" t="s">
        <v>63</v>
      </c>
      <c r="C53" s="139" t="s">
        <v>26</v>
      </c>
      <c r="D53" s="140">
        <v>90</v>
      </c>
      <c r="E53" s="139">
        <v>2005</v>
      </c>
      <c r="F53" s="139">
        <v>2024</v>
      </c>
      <c r="G53" s="139">
        <v>40</v>
      </c>
      <c r="H53" s="141">
        <v>9500</v>
      </c>
      <c r="I53" s="142">
        <f t="shared" ref="I53:I60" si="11">F53-E53</f>
        <v>19</v>
      </c>
      <c r="J53" s="143">
        <f t="shared" ref="J53:J60" si="12">G53-I53</f>
        <v>21</v>
      </c>
      <c r="K53" s="144">
        <f t="shared" ref="K53:K60" si="13">IF(I53&gt;=5,90*I53/G53,0)</f>
        <v>42.75</v>
      </c>
      <c r="L53" s="145">
        <f t="shared" ref="L53:L60" si="14">H53/100*K53</f>
        <v>4061.25</v>
      </c>
      <c r="M53" s="141">
        <f t="shared" ref="M53:M60" si="15">H53-L53</f>
        <v>5438.75</v>
      </c>
      <c r="N53" s="141">
        <f t="shared" ref="N53:N60" si="16">P53-O53</f>
        <v>365512.5</v>
      </c>
      <c r="O53" s="141">
        <f t="shared" ref="O53:O60" si="17">M53*D53</f>
        <v>489487.5</v>
      </c>
      <c r="P53" s="141">
        <f t="shared" ref="P53:P60" si="18">H53*D53</f>
        <v>855000</v>
      </c>
    </row>
    <row r="54" spans="2:16" s="62" customFormat="1" ht="33" x14ac:dyDescent="0.3">
      <c r="B54" s="139" t="s">
        <v>55</v>
      </c>
      <c r="C54" s="139" t="s">
        <v>26</v>
      </c>
      <c r="D54" s="140">
        <v>1020</v>
      </c>
      <c r="E54" s="139">
        <v>2018</v>
      </c>
      <c r="F54" s="139">
        <v>2024</v>
      </c>
      <c r="G54" s="139">
        <v>40</v>
      </c>
      <c r="H54" s="146">
        <v>10500</v>
      </c>
      <c r="I54" s="142">
        <f t="shared" si="11"/>
        <v>6</v>
      </c>
      <c r="J54" s="143">
        <f t="shared" si="12"/>
        <v>34</v>
      </c>
      <c r="K54" s="144">
        <f t="shared" si="13"/>
        <v>13.5</v>
      </c>
      <c r="L54" s="145">
        <f t="shared" si="14"/>
        <v>1417.5</v>
      </c>
      <c r="M54" s="141">
        <f t="shared" si="15"/>
        <v>9082.5</v>
      </c>
      <c r="N54" s="141">
        <f t="shared" si="16"/>
        <v>1445850</v>
      </c>
      <c r="O54" s="141">
        <f t="shared" si="17"/>
        <v>9264150</v>
      </c>
      <c r="P54" s="141">
        <f t="shared" si="18"/>
        <v>10710000</v>
      </c>
    </row>
    <row r="55" spans="2:16" s="62" customFormat="1" ht="33" x14ac:dyDescent="0.3">
      <c r="B55" s="139" t="s">
        <v>56</v>
      </c>
      <c r="C55" s="139" t="s">
        <v>26</v>
      </c>
      <c r="D55" s="140">
        <v>1039.3800000000001</v>
      </c>
      <c r="E55" s="139">
        <v>2017</v>
      </c>
      <c r="F55" s="139">
        <v>2024</v>
      </c>
      <c r="G55" s="139">
        <v>40</v>
      </c>
      <c r="H55" s="146">
        <v>9500</v>
      </c>
      <c r="I55" s="142">
        <f t="shared" si="11"/>
        <v>7</v>
      </c>
      <c r="J55" s="143">
        <f t="shared" si="12"/>
        <v>33</v>
      </c>
      <c r="K55" s="144">
        <f t="shared" si="13"/>
        <v>15.75</v>
      </c>
      <c r="L55" s="145">
        <f t="shared" si="14"/>
        <v>1496.25</v>
      </c>
      <c r="M55" s="141">
        <f t="shared" si="15"/>
        <v>8003.75</v>
      </c>
      <c r="N55" s="141">
        <f t="shared" si="16"/>
        <v>1555172.3250000011</v>
      </c>
      <c r="O55" s="141">
        <f t="shared" si="17"/>
        <v>8318937.6750000007</v>
      </c>
      <c r="P55" s="141">
        <f t="shared" si="18"/>
        <v>9874110.0000000019</v>
      </c>
    </row>
    <row r="56" spans="2:16" s="62" customFormat="1" ht="33" x14ac:dyDescent="0.3">
      <c r="B56" s="139" t="s">
        <v>57</v>
      </c>
      <c r="C56" s="139" t="s">
        <v>26</v>
      </c>
      <c r="D56" s="140">
        <v>154.26</v>
      </c>
      <c r="E56" s="139">
        <v>2017</v>
      </c>
      <c r="F56" s="139">
        <v>2024</v>
      </c>
      <c r="G56" s="139">
        <v>40</v>
      </c>
      <c r="H56" s="146">
        <v>10500</v>
      </c>
      <c r="I56" s="142">
        <f t="shared" si="11"/>
        <v>7</v>
      </c>
      <c r="J56" s="143">
        <f t="shared" si="12"/>
        <v>33</v>
      </c>
      <c r="K56" s="144">
        <f t="shared" si="13"/>
        <v>15.75</v>
      </c>
      <c r="L56" s="145">
        <f t="shared" si="14"/>
        <v>1653.75</v>
      </c>
      <c r="M56" s="141">
        <f t="shared" si="15"/>
        <v>8846.25</v>
      </c>
      <c r="N56" s="141">
        <f t="shared" si="16"/>
        <v>255107.47500000009</v>
      </c>
      <c r="O56" s="141">
        <f t="shared" si="17"/>
        <v>1364622.5249999999</v>
      </c>
      <c r="P56" s="141">
        <f t="shared" si="18"/>
        <v>1619730</v>
      </c>
    </row>
    <row r="57" spans="2:16" s="62" customFormat="1" x14ac:dyDescent="0.3">
      <c r="B57" s="139" t="s">
        <v>58</v>
      </c>
      <c r="C57" s="139" t="s">
        <v>26</v>
      </c>
      <c r="D57" s="140">
        <v>130</v>
      </c>
      <c r="E57" s="139">
        <v>2005</v>
      </c>
      <c r="F57" s="139">
        <v>2024</v>
      </c>
      <c r="G57" s="139">
        <v>40</v>
      </c>
      <c r="H57" s="146">
        <v>9500</v>
      </c>
      <c r="I57" s="142">
        <f t="shared" si="11"/>
        <v>19</v>
      </c>
      <c r="J57" s="143">
        <f t="shared" si="12"/>
        <v>21</v>
      </c>
      <c r="K57" s="144">
        <f t="shared" si="13"/>
        <v>42.75</v>
      </c>
      <c r="L57" s="145">
        <f t="shared" si="14"/>
        <v>4061.25</v>
      </c>
      <c r="M57" s="141">
        <f t="shared" si="15"/>
        <v>5438.75</v>
      </c>
      <c r="N57" s="141">
        <f t="shared" si="16"/>
        <v>527962.5</v>
      </c>
      <c r="O57" s="141">
        <f t="shared" si="17"/>
        <v>707037.5</v>
      </c>
      <c r="P57" s="141">
        <f t="shared" si="18"/>
        <v>1235000</v>
      </c>
    </row>
    <row r="58" spans="2:16" s="62" customFormat="1" ht="49.5" x14ac:dyDescent="0.3">
      <c r="B58" s="139" t="s">
        <v>59</v>
      </c>
      <c r="C58" s="139" t="s">
        <v>27</v>
      </c>
      <c r="D58" s="140">
        <f>410.24*2</f>
        <v>820.48</v>
      </c>
      <c r="E58" s="139">
        <v>2005</v>
      </c>
      <c r="F58" s="139">
        <v>2024</v>
      </c>
      <c r="G58" s="139">
        <v>60</v>
      </c>
      <c r="H58" s="146">
        <v>16500</v>
      </c>
      <c r="I58" s="142">
        <f t="shared" si="11"/>
        <v>19</v>
      </c>
      <c r="J58" s="143">
        <f t="shared" si="12"/>
        <v>41</v>
      </c>
      <c r="K58" s="144">
        <f t="shared" si="13"/>
        <v>28.5</v>
      </c>
      <c r="L58" s="145">
        <f t="shared" si="14"/>
        <v>4702.5</v>
      </c>
      <c r="M58" s="141">
        <f t="shared" si="15"/>
        <v>11797.5</v>
      </c>
      <c r="N58" s="141">
        <f t="shared" si="16"/>
        <v>3858307.1999999993</v>
      </c>
      <c r="O58" s="141">
        <f t="shared" si="17"/>
        <v>9679612.8000000007</v>
      </c>
      <c r="P58" s="141">
        <f t="shared" si="18"/>
        <v>13537920</v>
      </c>
    </row>
    <row r="59" spans="2:16" s="62" customFormat="1" ht="49.5" x14ac:dyDescent="0.3">
      <c r="B59" s="147" t="s">
        <v>61</v>
      </c>
      <c r="C59" s="148" t="s">
        <v>27</v>
      </c>
      <c r="D59" s="149">
        <f>304.29*2</f>
        <v>608.58000000000004</v>
      </c>
      <c r="E59" s="150">
        <v>2005</v>
      </c>
      <c r="F59" s="151">
        <v>2024</v>
      </c>
      <c r="G59" s="139">
        <v>60</v>
      </c>
      <c r="H59" s="146">
        <v>16500</v>
      </c>
      <c r="I59" s="142">
        <f t="shared" si="11"/>
        <v>19</v>
      </c>
      <c r="J59" s="143">
        <f t="shared" si="12"/>
        <v>41</v>
      </c>
      <c r="K59" s="144">
        <f t="shared" si="13"/>
        <v>28.5</v>
      </c>
      <c r="L59" s="145">
        <f t="shared" si="14"/>
        <v>4702.5</v>
      </c>
      <c r="M59" s="141">
        <f t="shared" si="15"/>
        <v>11797.5</v>
      </c>
      <c r="N59" s="141">
        <f t="shared" si="16"/>
        <v>2861847.4499999993</v>
      </c>
      <c r="O59" s="141">
        <f t="shared" si="17"/>
        <v>7179722.5500000007</v>
      </c>
      <c r="P59" s="141">
        <f t="shared" si="18"/>
        <v>10041570</v>
      </c>
    </row>
    <row r="60" spans="2:16" s="62" customFormat="1" ht="33" x14ac:dyDescent="0.3">
      <c r="B60" s="139" t="s">
        <v>391</v>
      </c>
      <c r="C60" s="139" t="s">
        <v>26</v>
      </c>
      <c r="D60" s="140">
        <v>24626</v>
      </c>
      <c r="E60" s="139">
        <v>2008</v>
      </c>
      <c r="F60" s="139">
        <v>2024</v>
      </c>
      <c r="G60" s="139">
        <v>40</v>
      </c>
      <c r="H60" s="141">
        <v>16500</v>
      </c>
      <c r="I60" s="142">
        <f t="shared" si="11"/>
        <v>16</v>
      </c>
      <c r="J60" s="143">
        <f t="shared" si="12"/>
        <v>24</v>
      </c>
      <c r="K60" s="144">
        <f t="shared" si="13"/>
        <v>36</v>
      </c>
      <c r="L60" s="145">
        <f t="shared" si="14"/>
        <v>5940</v>
      </c>
      <c r="M60" s="141">
        <f t="shared" si="15"/>
        <v>10560</v>
      </c>
      <c r="N60" s="141">
        <f t="shared" si="16"/>
        <v>146278440</v>
      </c>
      <c r="O60" s="141">
        <f t="shared" si="17"/>
        <v>260050560</v>
      </c>
      <c r="P60" s="141">
        <f t="shared" si="18"/>
        <v>406329000</v>
      </c>
    </row>
    <row r="61" spans="2:16" s="62" customFormat="1" ht="66" x14ac:dyDescent="0.3">
      <c r="B61" s="147" t="s">
        <v>392</v>
      </c>
      <c r="C61" s="148" t="s">
        <v>27</v>
      </c>
      <c r="D61" s="149">
        <f>16*16*3</f>
        <v>768</v>
      </c>
      <c r="E61" s="150">
        <v>2005</v>
      </c>
      <c r="F61" s="151">
        <v>2024</v>
      </c>
      <c r="G61" s="139">
        <v>60</v>
      </c>
      <c r="H61" s="146">
        <v>15000</v>
      </c>
      <c r="I61" s="142">
        <f t="shared" ref="I61" si="19">F61-E61</f>
        <v>19</v>
      </c>
      <c r="J61" s="143">
        <f t="shared" ref="J61" si="20">G61-I61</f>
        <v>41</v>
      </c>
      <c r="K61" s="144">
        <f t="shared" ref="K61" si="21">IF(I61&gt;=5,90*I61/G61,0)</f>
        <v>28.5</v>
      </c>
      <c r="L61" s="145">
        <f t="shared" ref="L61" si="22">H61/100*K61</f>
        <v>4275</v>
      </c>
      <c r="M61" s="141">
        <f t="shared" ref="M61" si="23">H61-L61</f>
        <v>10725</v>
      </c>
      <c r="N61" s="141">
        <f t="shared" ref="N61" si="24">P61-O61</f>
        <v>3283200</v>
      </c>
      <c r="O61" s="141">
        <f t="shared" ref="O61" si="25">M61*D61</f>
        <v>8236800</v>
      </c>
      <c r="P61" s="141">
        <f t="shared" ref="P61" si="26">H61*D61</f>
        <v>11520000</v>
      </c>
    </row>
    <row r="62" spans="2:16" s="62" customFormat="1" x14ac:dyDescent="0.3">
      <c r="B62" s="193" t="s">
        <v>411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5"/>
      <c r="O62" s="141">
        <f>ROUND(SUM(O53:O61),0)</f>
        <v>305290931</v>
      </c>
      <c r="P62" s="141">
        <f>ROUND(SUM(P53:P61),0)</f>
        <v>465722330</v>
      </c>
    </row>
    <row r="63" spans="2:16" s="62" customFormat="1" x14ac:dyDescent="0.3">
      <c r="B63" s="147"/>
      <c r="C63" s="148"/>
      <c r="D63" s="149"/>
      <c r="E63" s="150"/>
      <c r="F63" s="151"/>
      <c r="G63" s="139"/>
      <c r="H63" s="146"/>
      <c r="I63" s="142"/>
      <c r="J63" s="143"/>
      <c r="K63" s="144"/>
      <c r="L63" s="145"/>
      <c r="M63" s="141"/>
      <c r="N63" s="141"/>
      <c r="O63" s="141"/>
      <c r="P63" s="141"/>
    </row>
    <row r="64" spans="2:16" s="19" customFormat="1" ht="18.75" customHeight="1" x14ac:dyDescent="0.3">
      <c r="B64" s="67" t="s">
        <v>28</v>
      </c>
      <c r="C64" s="67"/>
      <c r="D64" s="53"/>
      <c r="E64" s="57"/>
      <c r="F64" s="57"/>
      <c r="G64" s="58"/>
      <c r="H64" s="99"/>
      <c r="I64" s="129"/>
      <c r="J64" s="59"/>
      <c r="K64" s="59"/>
      <c r="L64" s="59"/>
      <c r="M64" s="106"/>
      <c r="N64" s="105"/>
      <c r="O64" s="105">
        <f>O62+O50</f>
        <v>1343825084</v>
      </c>
      <c r="P64" s="105">
        <f>P62+P50</f>
        <v>1906242658</v>
      </c>
    </row>
    <row r="65" spans="2:17" s="19" customFormat="1" ht="18.75" customHeight="1" x14ac:dyDescent="0.3">
      <c r="B65" s="56"/>
      <c r="C65" s="56"/>
      <c r="D65" s="42"/>
      <c r="E65" s="35"/>
      <c r="F65" s="35"/>
      <c r="G65" s="36"/>
      <c r="H65" s="37"/>
      <c r="I65" s="130"/>
      <c r="J65" s="38"/>
      <c r="K65" s="38"/>
      <c r="L65" s="38"/>
      <c r="M65" s="38"/>
    </row>
    <row r="66" spans="2:17" s="19" customFormat="1" ht="18.75" customHeight="1" x14ac:dyDescent="0.3">
      <c r="B66" s="56"/>
      <c r="C66" s="56"/>
      <c r="D66" s="42"/>
      <c r="E66" s="35"/>
      <c r="F66" s="35"/>
      <c r="G66" s="36"/>
      <c r="H66" s="37"/>
      <c r="I66" s="130"/>
      <c r="J66" s="38"/>
      <c r="K66" s="38"/>
      <c r="L66" s="38"/>
      <c r="M66" s="38"/>
    </row>
    <row r="67" spans="2:17" x14ac:dyDescent="0.3">
      <c r="B67" s="188" t="s">
        <v>16</v>
      </c>
      <c r="C67" s="188"/>
      <c r="D67" s="188"/>
      <c r="E67" s="18"/>
      <c r="F67" s="18"/>
      <c r="G67" s="68"/>
      <c r="H67" s="68"/>
      <c r="I67" s="131"/>
      <c r="J67" s="1"/>
      <c r="K67" s="1"/>
      <c r="M67" s="1"/>
      <c r="O67" s="1"/>
      <c r="P67" s="1"/>
      <c r="Q67" s="14"/>
    </row>
    <row r="68" spans="2:17" x14ac:dyDescent="0.3">
      <c r="B68" s="9" t="s">
        <v>17</v>
      </c>
      <c r="C68" s="98"/>
      <c r="D68" s="18"/>
      <c r="E68" s="2"/>
      <c r="F68" s="69"/>
      <c r="G68" s="69"/>
      <c r="H68" s="54"/>
      <c r="I68" s="125"/>
      <c r="J68" s="1"/>
      <c r="K68" s="1"/>
      <c r="M68" s="49"/>
      <c r="N68" s="49"/>
      <c r="O68" s="1"/>
      <c r="P68" s="14"/>
    </row>
    <row r="69" spans="2:17" x14ac:dyDescent="0.3">
      <c r="B69" s="9" t="s">
        <v>5</v>
      </c>
      <c r="C69" s="112"/>
      <c r="D69" s="18"/>
      <c r="E69" s="18"/>
      <c r="F69" s="69"/>
      <c r="G69" s="187"/>
      <c r="H69" s="22"/>
      <c r="I69" s="132"/>
      <c r="J69" s="19"/>
      <c r="K69" s="19"/>
      <c r="L69" s="19"/>
      <c r="M69" s="1"/>
      <c r="N69" s="48"/>
      <c r="O69" s="1"/>
      <c r="P69" s="1"/>
    </row>
    <row r="70" spans="2:17" x14ac:dyDescent="0.3">
      <c r="B70" s="9" t="s">
        <v>6</v>
      </c>
      <c r="C70" s="98">
        <f>ROUND((C68*C69),0)</f>
        <v>0</v>
      </c>
      <c r="D70" s="18"/>
      <c r="E70" s="51"/>
      <c r="F70" s="69"/>
      <c r="G70" s="187"/>
      <c r="H70" s="22"/>
      <c r="I70" s="125"/>
      <c r="J70" s="1"/>
      <c r="K70" s="1"/>
      <c r="L70" s="14"/>
      <c r="M70" s="14"/>
      <c r="N70" s="14"/>
      <c r="O70" s="1"/>
      <c r="P70" s="1"/>
    </row>
    <row r="71" spans="2:17" x14ac:dyDescent="0.3">
      <c r="B71" s="20"/>
      <c r="C71" s="20"/>
      <c r="D71" s="43"/>
      <c r="E71" s="18"/>
      <c r="F71" s="34"/>
      <c r="G71" s="69"/>
      <c r="H71" s="69"/>
      <c r="I71" s="133"/>
      <c r="J71" s="1"/>
      <c r="K71" s="19"/>
      <c r="L71" s="19"/>
      <c r="M71" s="1"/>
      <c r="O71" s="1"/>
      <c r="P71" s="1"/>
    </row>
    <row r="72" spans="2:17" ht="16.5" customHeight="1" x14ac:dyDescent="0.3">
      <c r="B72" s="189" t="s">
        <v>10</v>
      </c>
      <c r="C72" s="190"/>
      <c r="D72" s="191"/>
      <c r="E72" s="18"/>
      <c r="F72" s="21"/>
      <c r="G72" s="69"/>
      <c r="H72" s="69"/>
      <c r="I72" s="134"/>
      <c r="J72" s="1"/>
      <c r="K72" s="1"/>
      <c r="M72" s="1"/>
      <c r="N72" s="47"/>
      <c r="O72" s="1"/>
      <c r="P72" s="1"/>
    </row>
    <row r="73" spans="2:17" x14ac:dyDescent="0.3">
      <c r="B73" s="9" t="s">
        <v>7</v>
      </c>
      <c r="C73" s="98">
        <v>0</v>
      </c>
      <c r="D73" s="23"/>
      <c r="E73" s="2"/>
      <c r="F73" s="60" t="s">
        <v>67</v>
      </c>
      <c r="G73" s="60" t="s">
        <v>68</v>
      </c>
      <c r="H73" s="1"/>
      <c r="I73" s="125"/>
      <c r="J73" s="1"/>
      <c r="K73" s="1"/>
      <c r="M73" s="47"/>
      <c r="O73" s="1"/>
      <c r="P73" s="1"/>
    </row>
    <row r="74" spans="2:17" x14ac:dyDescent="0.3">
      <c r="B74" s="9" t="s">
        <v>5</v>
      </c>
      <c r="C74" s="112">
        <v>0</v>
      </c>
      <c r="D74" s="12"/>
      <c r="E74" s="2"/>
      <c r="F74" s="70" t="s">
        <v>69</v>
      </c>
      <c r="G74" s="94">
        <v>9308</v>
      </c>
      <c r="H74" s="1"/>
      <c r="I74" s="125"/>
      <c r="J74" s="1"/>
      <c r="K74" s="1"/>
      <c r="M74" s="1"/>
      <c r="O74" s="1"/>
      <c r="P74" s="1"/>
    </row>
    <row r="75" spans="2:17" x14ac:dyDescent="0.3">
      <c r="B75" s="9" t="s">
        <v>6</v>
      </c>
      <c r="C75" s="98">
        <v>10000000</v>
      </c>
      <c r="D75" s="3"/>
      <c r="E75" s="2"/>
      <c r="F75" s="71">
        <v>492</v>
      </c>
      <c r="G75" s="95">
        <v>34500</v>
      </c>
      <c r="H75" s="1"/>
      <c r="I75" s="125"/>
      <c r="J75" s="1"/>
      <c r="K75" s="1"/>
      <c r="M75" s="19"/>
      <c r="N75" s="2"/>
      <c r="O75" s="1"/>
      <c r="P75" s="1"/>
    </row>
    <row r="76" spans="2:17" x14ac:dyDescent="0.3">
      <c r="D76" s="44"/>
      <c r="E76" s="3"/>
      <c r="F76" s="71">
        <v>495</v>
      </c>
      <c r="G76" s="95">
        <v>35816</v>
      </c>
      <c r="H76" s="1"/>
      <c r="J76" s="5"/>
      <c r="K76" s="5"/>
      <c r="N76" s="47"/>
      <c r="O76" s="1"/>
    </row>
    <row r="77" spans="2:17" x14ac:dyDescent="0.3">
      <c r="B77" s="171" t="s">
        <v>435</v>
      </c>
      <c r="C77" s="172" t="s">
        <v>436</v>
      </c>
      <c r="D77" s="173" t="s">
        <v>437</v>
      </c>
      <c r="E77" s="172" t="s">
        <v>432</v>
      </c>
      <c r="F77" s="72">
        <v>496</v>
      </c>
      <c r="G77" s="96">
        <v>20842</v>
      </c>
      <c r="H77" s="1"/>
      <c r="I77" s="125"/>
      <c r="K77" s="8"/>
      <c r="L77" s="2"/>
      <c r="N77" s="19"/>
      <c r="P77" s="1"/>
    </row>
    <row r="78" spans="2:17" x14ac:dyDescent="0.3">
      <c r="B78" s="117" t="s">
        <v>9</v>
      </c>
      <c r="C78" s="115">
        <f>'Land Details'!D41</f>
        <v>225780100</v>
      </c>
      <c r="D78" s="115">
        <f>'Land Details'!I30</f>
        <v>88668300</v>
      </c>
      <c r="E78" s="115">
        <f>SUM(C78:D78)</f>
        <v>314448400</v>
      </c>
      <c r="F78" s="71">
        <v>499</v>
      </c>
      <c r="G78" s="95">
        <v>44515</v>
      </c>
      <c r="H78" s="1"/>
      <c r="J78" s="6"/>
      <c r="L78" s="2"/>
      <c r="M78" s="47"/>
      <c r="O78" s="1"/>
      <c r="P78" s="1"/>
    </row>
    <row r="79" spans="2:17" x14ac:dyDescent="0.3">
      <c r="B79" s="117" t="s">
        <v>450</v>
      </c>
      <c r="C79" s="115">
        <f>O50</f>
        <v>1038534153</v>
      </c>
      <c r="D79" s="115">
        <f>O62</f>
        <v>305290931</v>
      </c>
      <c r="E79" s="115">
        <f t="shared" ref="E79:E81" si="27">SUM(C79:D79)</f>
        <v>1343825084</v>
      </c>
      <c r="F79" s="71" t="s">
        <v>70</v>
      </c>
      <c r="G79" s="95">
        <v>8903</v>
      </c>
      <c r="H79" s="1"/>
      <c r="J79" s="6"/>
      <c r="L79" s="2"/>
      <c r="M79" s="47"/>
      <c r="O79" s="1"/>
      <c r="P79" s="1"/>
    </row>
    <row r="80" spans="2:17" ht="33" x14ac:dyDescent="0.3">
      <c r="B80" s="117" t="s">
        <v>18</v>
      </c>
      <c r="C80" s="115">
        <v>0</v>
      </c>
      <c r="D80" s="115">
        <v>0</v>
      </c>
      <c r="E80" s="115">
        <f t="shared" si="27"/>
        <v>0</v>
      </c>
      <c r="F80" s="71" t="s">
        <v>71</v>
      </c>
      <c r="G80" s="95">
        <v>8296</v>
      </c>
      <c r="J80" s="7"/>
      <c r="L80" s="2"/>
      <c r="M80" s="47"/>
    </row>
    <row r="81" spans="2:16" x14ac:dyDescent="0.3">
      <c r="B81" s="117" t="s">
        <v>8</v>
      </c>
      <c r="C81" s="115">
        <v>7000000</v>
      </c>
      <c r="D81" s="115">
        <v>3000000</v>
      </c>
      <c r="E81" s="115">
        <f t="shared" si="27"/>
        <v>10000000</v>
      </c>
      <c r="F81" s="71" t="s">
        <v>72</v>
      </c>
      <c r="G81" s="95">
        <v>7994</v>
      </c>
      <c r="J81" s="7"/>
      <c r="L81" s="2"/>
      <c r="M81" s="47"/>
    </row>
    <row r="82" spans="2:16" x14ac:dyDescent="0.3">
      <c r="B82" s="118" t="s">
        <v>441</v>
      </c>
      <c r="C82" s="119">
        <f>SUM(C78:C81)</f>
        <v>1271314253</v>
      </c>
      <c r="D82" s="119">
        <f t="shared" ref="D82:E82" si="28">SUM(D78:D81)</f>
        <v>396959231</v>
      </c>
      <c r="E82" s="119">
        <f t="shared" si="28"/>
        <v>1668273484</v>
      </c>
      <c r="F82" s="71">
        <v>497</v>
      </c>
      <c r="G82" s="95">
        <v>22360</v>
      </c>
      <c r="J82" s="7"/>
      <c r="L82" s="2"/>
      <c r="M82" s="47"/>
      <c r="O82" s="1"/>
      <c r="P82" s="1"/>
    </row>
    <row r="83" spans="2:16" x14ac:dyDescent="0.3">
      <c r="B83" s="118" t="s">
        <v>412</v>
      </c>
      <c r="C83" s="119">
        <f>ROUND(C82*0.9,0)</f>
        <v>1144182828</v>
      </c>
      <c r="D83" s="119">
        <f t="shared" ref="D83:E83" si="29">ROUND(D82*0.9,0)</f>
        <v>357263308</v>
      </c>
      <c r="E83" s="119">
        <f t="shared" si="29"/>
        <v>1501446136</v>
      </c>
      <c r="F83" s="71">
        <v>498</v>
      </c>
      <c r="G83" s="95">
        <v>17807</v>
      </c>
      <c r="H83" s="1"/>
      <c r="J83" s="7"/>
      <c r="L83" s="2"/>
      <c r="O83" s="1"/>
      <c r="P83" s="1"/>
    </row>
    <row r="84" spans="2:16" x14ac:dyDescent="0.3">
      <c r="B84" s="118" t="s">
        <v>413</v>
      </c>
      <c r="C84" s="119">
        <f>MROUND(C82*80%,1)</f>
        <v>1017051402</v>
      </c>
      <c r="D84" s="119">
        <f t="shared" ref="D84:E84" si="30">MROUND(D82*80%,1)</f>
        <v>317567385</v>
      </c>
      <c r="E84" s="119">
        <f t="shared" si="30"/>
        <v>1334618787</v>
      </c>
      <c r="F84" s="71">
        <v>500</v>
      </c>
      <c r="G84" s="95">
        <v>35917</v>
      </c>
      <c r="J84" s="1"/>
      <c r="L84" s="2"/>
      <c r="O84" s="1"/>
      <c r="P84" s="1"/>
    </row>
    <row r="85" spans="2:16" x14ac:dyDescent="0.3">
      <c r="B85" s="118" t="s">
        <v>19</v>
      </c>
      <c r="C85" s="119">
        <f>ROUND(P50*0.85,0)</f>
        <v>1224442279</v>
      </c>
      <c r="D85" s="119">
        <f>ROUND(P62*0.85,0)</f>
        <v>395863981</v>
      </c>
      <c r="E85" s="119">
        <f>ROUND(P64*0.85,0)</f>
        <v>1620306259</v>
      </c>
      <c r="F85" s="71" t="s">
        <v>73</v>
      </c>
      <c r="G85" s="95">
        <v>22967</v>
      </c>
      <c r="J85" s="1"/>
      <c r="L85" s="2"/>
      <c r="O85" s="1"/>
      <c r="P85" s="1"/>
    </row>
    <row r="86" spans="2:16" x14ac:dyDescent="0.3">
      <c r="B86" s="117" t="s">
        <v>20</v>
      </c>
      <c r="C86" s="119">
        <f>'Land Details'!D61+'L &amp; B Valuation '!C79</f>
        <v>1239478442</v>
      </c>
      <c r="D86" s="119">
        <f>'Land Details'!I50+'L &amp; B Valuation '!D79</f>
        <v>384205718</v>
      </c>
      <c r="E86" s="119">
        <f>C86+D86</f>
        <v>1623684160</v>
      </c>
      <c r="F86" s="71" t="s">
        <v>74</v>
      </c>
      <c r="G86" s="95">
        <v>14367</v>
      </c>
      <c r="J86" s="1"/>
      <c r="L86" s="2"/>
      <c r="O86" s="1"/>
      <c r="P86" s="1"/>
    </row>
    <row r="87" spans="2:16" x14ac:dyDescent="0.3">
      <c r="B87" s="109"/>
      <c r="C87" s="109"/>
      <c r="F87" s="71" t="s">
        <v>75</v>
      </c>
      <c r="G87" s="95">
        <v>45022</v>
      </c>
      <c r="J87" s="1"/>
      <c r="L87" s="2"/>
      <c r="M87" s="24"/>
      <c r="O87" s="1"/>
      <c r="P87" s="1"/>
    </row>
    <row r="88" spans="2:16" x14ac:dyDescent="0.3">
      <c r="B88" s="109"/>
      <c r="C88" s="109"/>
      <c r="F88" s="71" t="s">
        <v>76</v>
      </c>
      <c r="G88" s="95">
        <v>14266</v>
      </c>
      <c r="J88" s="1"/>
      <c r="L88" s="2"/>
      <c r="M88" s="24"/>
      <c r="O88" s="1"/>
      <c r="P88" s="1"/>
    </row>
    <row r="89" spans="2:16" x14ac:dyDescent="0.3">
      <c r="B89" s="109"/>
      <c r="C89" s="109"/>
      <c r="F89" s="71">
        <v>486</v>
      </c>
      <c r="G89" s="95">
        <v>32881</v>
      </c>
      <c r="H89" s="1"/>
    </row>
    <row r="90" spans="2:16" x14ac:dyDescent="0.3">
      <c r="B90" s="109"/>
      <c r="C90" s="109"/>
      <c r="F90" s="73" t="s">
        <v>28</v>
      </c>
      <c r="G90" s="97">
        <f>SUM(G74:G89)</f>
        <v>375761</v>
      </c>
      <c r="H90" s="1"/>
      <c r="N90" s="25"/>
    </row>
    <row r="91" spans="2:16" x14ac:dyDescent="0.3">
      <c r="B91" s="109"/>
      <c r="C91" s="109"/>
      <c r="H91" s="1"/>
      <c r="N91" s="25"/>
    </row>
    <row r="92" spans="2:16" x14ac:dyDescent="0.3">
      <c r="B92" s="109"/>
      <c r="C92" s="109"/>
      <c r="H92" s="1"/>
      <c r="N92" s="25"/>
    </row>
    <row r="93" spans="2:16" x14ac:dyDescent="0.3">
      <c r="B93" s="109"/>
      <c r="C93" s="109"/>
      <c r="N93" s="25"/>
    </row>
    <row r="94" spans="2:16" x14ac:dyDescent="0.3">
      <c r="B94" s="109"/>
      <c r="C94" s="109"/>
      <c r="N94" s="25"/>
    </row>
    <row r="95" spans="2:16" ht="16.5" customHeight="1" x14ac:dyDescent="0.3">
      <c r="B95" s="109"/>
      <c r="C95" s="109"/>
      <c r="N95" s="25"/>
    </row>
    <row r="96" spans="2:16" x14ac:dyDescent="0.3">
      <c r="B96" s="109"/>
      <c r="C96" s="109"/>
      <c r="N96" s="25"/>
    </row>
    <row r="97" spans="2:12" x14ac:dyDescent="0.3">
      <c r="B97" s="109"/>
      <c r="C97" s="109"/>
      <c r="D97" s="39"/>
    </row>
    <row r="98" spans="2:12" x14ac:dyDescent="0.3">
      <c r="B98" s="109"/>
      <c r="C98" s="109"/>
      <c r="D98" s="39"/>
    </row>
    <row r="99" spans="2:12" x14ac:dyDescent="0.3">
      <c r="B99" s="109"/>
      <c r="C99" s="109"/>
      <c r="D99" s="39"/>
    </row>
    <row r="100" spans="2:12" x14ac:dyDescent="0.3">
      <c r="B100" s="109"/>
      <c r="C100" s="109"/>
    </row>
    <row r="101" spans="2:12" x14ac:dyDescent="0.3">
      <c r="B101" s="109"/>
      <c r="C101" s="109"/>
      <c r="D101" s="39"/>
    </row>
    <row r="102" spans="2:12" x14ac:dyDescent="0.3">
      <c r="B102" s="109"/>
      <c r="C102" s="109"/>
      <c r="D102" s="39"/>
      <c r="G102" s="11"/>
    </row>
    <row r="103" spans="2:12" x14ac:dyDescent="0.3">
      <c r="B103" s="109"/>
      <c r="C103" s="109"/>
      <c r="D103" s="39"/>
    </row>
    <row r="104" spans="2:12" x14ac:dyDescent="0.3">
      <c r="B104" s="109"/>
      <c r="C104" s="109"/>
      <c r="D104" s="39"/>
      <c r="H104" s="11"/>
    </row>
    <row r="105" spans="2:12" x14ac:dyDescent="0.3">
      <c r="B105" s="109"/>
      <c r="C105" s="109"/>
      <c r="D105" s="39"/>
    </row>
    <row r="106" spans="2:12" x14ac:dyDescent="0.3">
      <c r="B106" s="109"/>
      <c r="C106" s="109"/>
      <c r="D106" s="39"/>
    </row>
    <row r="107" spans="2:12" x14ac:dyDescent="0.3">
      <c r="B107" s="109"/>
      <c r="C107" s="109"/>
      <c r="D107" s="39"/>
    </row>
    <row r="108" spans="2:12" x14ac:dyDescent="0.3">
      <c r="B108" s="109"/>
      <c r="C108" s="109"/>
      <c r="D108" s="39"/>
      <c r="H108" s="26"/>
      <c r="I108" s="135"/>
      <c r="J108" s="26"/>
      <c r="K108" s="26"/>
      <c r="L108" s="4"/>
    </row>
    <row r="109" spans="2:12" x14ac:dyDescent="0.3">
      <c r="B109" s="109"/>
      <c r="C109" s="109"/>
      <c r="D109" s="39"/>
      <c r="H109" s="24"/>
      <c r="I109" s="125"/>
      <c r="J109" s="24"/>
      <c r="K109" s="24"/>
    </row>
    <row r="110" spans="2:12" x14ac:dyDescent="0.3">
      <c r="B110" s="109"/>
      <c r="C110" s="109"/>
      <c r="D110" s="39"/>
      <c r="H110" s="24"/>
      <c r="I110" s="136"/>
      <c r="J110" s="33"/>
      <c r="K110" s="33"/>
    </row>
    <row r="111" spans="2:12" x14ac:dyDescent="0.3">
      <c r="B111" s="109"/>
      <c r="C111" s="109"/>
      <c r="D111" s="39"/>
      <c r="H111" s="24"/>
      <c r="I111" s="136"/>
      <c r="J111" s="24"/>
      <c r="K111" s="24"/>
    </row>
    <row r="112" spans="2:12" x14ac:dyDescent="0.3">
      <c r="B112" s="109"/>
      <c r="C112" s="109"/>
      <c r="D112" s="39"/>
      <c r="H112" s="24"/>
      <c r="I112" s="137"/>
      <c r="J112" s="24"/>
      <c r="K112" s="24"/>
    </row>
    <row r="113" spans="2:11" x14ac:dyDescent="0.3">
      <c r="B113" s="109"/>
      <c r="C113" s="109"/>
      <c r="D113" s="39"/>
      <c r="H113" s="24"/>
      <c r="I113" s="136"/>
      <c r="J113" s="24"/>
      <c r="K113" s="24"/>
    </row>
    <row r="114" spans="2:11" x14ac:dyDescent="0.3">
      <c r="B114" s="109"/>
      <c r="C114" s="109"/>
      <c r="D114" s="39"/>
      <c r="H114" s="24"/>
      <c r="I114" s="136"/>
      <c r="J114" s="24"/>
      <c r="K114" s="24"/>
    </row>
    <row r="115" spans="2:11" x14ac:dyDescent="0.3">
      <c r="B115" s="109"/>
      <c r="C115" s="109"/>
      <c r="D115" s="39"/>
      <c r="H115" s="24"/>
      <c r="I115" s="136"/>
      <c r="J115" s="24"/>
      <c r="K115" s="24"/>
    </row>
    <row r="116" spans="2:11" x14ac:dyDescent="0.3">
      <c r="B116" s="109"/>
      <c r="C116" s="109"/>
      <c r="D116" s="39"/>
      <c r="H116" s="24"/>
      <c r="I116" s="136"/>
      <c r="J116" s="24"/>
      <c r="K116" s="24"/>
    </row>
    <row r="117" spans="2:11" x14ac:dyDescent="0.3">
      <c r="B117" s="109"/>
      <c r="C117" s="109"/>
      <c r="D117" s="39"/>
      <c r="H117" s="24"/>
      <c r="I117" s="136"/>
      <c r="J117" s="24"/>
      <c r="K117" s="24"/>
    </row>
    <row r="118" spans="2:11" x14ac:dyDescent="0.3">
      <c r="B118" s="109"/>
      <c r="C118" s="109"/>
      <c r="D118" s="39"/>
      <c r="H118" s="24"/>
      <c r="I118" s="136"/>
      <c r="J118" s="24"/>
      <c r="K118" s="24"/>
    </row>
    <row r="119" spans="2:11" x14ac:dyDescent="0.3">
      <c r="B119" s="109"/>
      <c r="C119" s="109"/>
      <c r="D119" s="39"/>
    </row>
    <row r="120" spans="2:11" x14ac:dyDescent="0.3">
      <c r="B120" s="109"/>
      <c r="C120" s="109"/>
      <c r="D120" s="39"/>
    </row>
    <row r="121" spans="2:11" x14ac:dyDescent="0.3">
      <c r="B121" s="109"/>
      <c r="C121" s="109"/>
      <c r="D121" s="39"/>
    </row>
    <row r="122" spans="2:11" x14ac:dyDescent="0.3">
      <c r="B122" s="109"/>
      <c r="C122" s="109"/>
      <c r="D122" s="39"/>
    </row>
    <row r="123" spans="2:11" x14ac:dyDescent="0.3">
      <c r="B123" s="109"/>
      <c r="C123" s="109"/>
      <c r="D123" s="39"/>
    </row>
    <row r="124" spans="2:11" x14ac:dyDescent="0.3">
      <c r="B124" s="109"/>
      <c r="C124" s="109"/>
      <c r="D124" s="39"/>
      <c r="H124" s="27"/>
    </row>
    <row r="125" spans="2:11" x14ac:dyDescent="0.3">
      <c r="B125" s="109"/>
      <c r="C125" s="109"/>
      <c r="D125" s="39"/>
      <c r="H125" s="27"/>
    </row>
    <row r="126" spans="2:11" x14ac:dyDescent="0.3">
      <c r="B126" s="109"/>
      <c r="C126" s="109"/>
      <c r="D126" s="39"/>
      <c r="H126" s="27"/>
    </row>
    <row r="127" spans="2:11" x14ac:dyDescent="0.3">
      <c r="B127" s="109"/>
      <c r="C127" s="109"/>
      <c r="D127" s="39"/>
      <c r="H127" s="27"/>
    </row>
    <row r="128" spans="2:11" x14ac:dyDescent="0.3">
      <c r="B128" s="109"/>
      <c r="C128" s="109"/>
      <c r="D128" s="39"/>
      <c r="H128" s="27"/>
    </row>
    <row r="129" spans="2:8" x14ac:dyDescent="0.3">
      <c r="B129" s="109"/>
      <c r="C129" s="109"/>
      <c r="D129" s="39"/>
      <c r="H129" s="27"/>
    </row>
    <row r="130" spans="2:8" x14ac:dyDescent="0.3">
      <c r="B130" s="109"/>
      <c r="C130" s="109"/>
      <c r="D130" s="39"/>
      <c r="H130" s="27"/>
    </row>
    <row r="131" spans="2:8" x14ac:dyDescent="0.3">
      <c r="B131" s="109"/>
      <c r="C131" s="109"/>
      <c r="D131" s="39"/>
      <c r="H131" s="27"/>
    </row>
    <row r="132" spans="2:8" x14ac:dyDescent="0.3">
      <c r="B132" s="109"/>
      <c r="C132" s="109"/>
      <c r="D132" s="39"/>
      <c r="H132" s="27"/>
    </row>
    <row r="133" spans="2:8" x14ac:dyDescent="0.3">
      <c r="B133" s="109"/>
      <c r="C133" s="109"/>
      <c r="D133" s="39"/>
      <c r="H133" s="27"/>
    </row>
    <row r="134" spans="2:8" x14ac:dyDescent="0.3">
      <c r="B134" s="109">
        <f>3350000/300</f>
        <v>11166.666666666666</v>
      </c>
      <c r="C134" s="109"/>
      <c r="D134" s="39"/>
    </row>
    <row r="135" spans="2:8" x14ac:dyDescent="0.3">
      <c r="B135" s="109">
        <f>B134/10.764</f>
        <v>1037.4086461042982</v>
      </c>
      <c r="C135" s="109"/>
      <c r="D135" s="39"/>
    </row>
    <row r="136" spans="2:8" x14ac:dyDescent="0.3">
      <c r="B136" s="109"/>
      <c r="C136" s="109"/>
      <c r="D136" s="39"/>
    </row>
    <row r="137" spans="2:8" x14ac:dyDescent="0.3">
      <c r="B137" s="109"/>
      <c r="C137" s="109"/>
      <c r="D137" s="39"/>
    </row>
    <row r="138" spans="2:8" x14ac:dyDescent="0.3">
      <c r="B138" s="109"/>
      <c r="C138" s="109"/>
      <c r="D138" s="39"/>
    </row>
    <row r="139" spans="2:8" x14ac:dyDescent="0.3">
      <c r="B139" s="109"/>
      <c r="C139" s="109"/>
      <c r="D139" s="39"/>
    </row>
    <row r="140" spans="2:8" x14ac:dyDescent="0.3">
      <c r="B140" s="109"/>
      <c r="C140" s="109"/>
      <c r="D140" s="39"/>
    </row>
    <row r="141" spans="2:8" x14ac:dyDescent="0.3">
      <c r="B141" s="109"/>
      <c r="C141" s="109"/>
      <c r="D141" s="39"/>
    </row>
    <row r="142" spans="2:8" x14ac:dyDescent="0.3">
      <c r="B142" s="109"/>
      <c r="C142" s="109"/>
      <c r="D142" s="39"/>
    </row>
    <row r="143" spans="2:8" x14ac:dyDescent="0.3">
      <c r="B143" s="109"/>
      <c r="C143" s="109"/>
      <c r="D143" s="39"/>
    </row>
    <row r="144" spans="2:8" x14ac:dyDescent="0.3">
      <c r="B144" s="109"/>
      <c r="C144" s="109"/>
      <c r="D144" s="39"/>
    </row>
    <row r="145" spans="2:4" x14ac:dyDescent="0.3">
      <c r="B145" s="109"/>
      <c r="C145" s="109"/>
      <c r="D145" s="39"/>
    </row>
    <row r="146" spans="2:4" x14ac:dyDescent="0.3">
      <c r="B146" s="109"/>
      <c r="C146" s="109"/>
      <c r="D146" s="39"/>
    </row>
    <row r="147" spans="2:4" x14ac:dyDescent="0.3">
      <c r="B147" s="109"/>
      <c r="C147" s="109"/>
      <c r="D147" s="39"/>
    </row>
    <row r="148" spans="2:4" x14ac:dyDescent="0.3">
      <c r="B148" s="109"/>
      <c r="C148" s="109"/>
      <c r="D148" s="39"/>
    </row>
    <row r="149" spans="2:4" x14ac:dyDescent="0.3">
      <c r="B149" s="109"/>
      <c r="C149" s="109"/>
      <c r="D149" s="39"/>
    </row>
    <row r="150" spans="2:4" x14ac:dyDescent="0.3">
      <c r="B150" s="109"/>
      <c r="C150" s="109"/>
      <c r="D150" s="39"/>
    </row>
    <row r="151" spans="2:4" x14ac:dyDescent="0.3">
      <c r="B151" s="109"/>
      <c r="C151" s="109"/>
      <c r="D151" s="39"/>
    </row>
    <row r="152" spans="2:4" x14ac:dyDescent="0.3">
      <c r="B152" s="109"/>
      <c r="C152" s="109"/>
      <c r="D152" s="39"/>
    </row>
    <row r="153" spans="2:4" x14ac:dyDescent="0.3">
      <c r="B153" s="109"/>
      <c r="C153" s="109"/>
      <c r="D153" s="39"/>
    </row>
    <row r="154" spans="2:4" x14ac:dyDescent="0.3">
      <c r="B154" s="109"/>
      <c r="C154" s="109"/>
      <c r="D154" s="39"/>
    </row>
    <row r="155" spans="2:4" x14ac:dyDescent="0.3">
      <c r="B155" s="109"/>
      <c r="C155" s="109"/>
      <c r="D155" s="39"/>
    </row>
    <row r="156" spans="2:4" x14ac:dyDescent="0.3">
      <c r="B156" s="109"/>
      <c r="C156" s="109"/>
      <c r="D156" s="39"/>
    </row>
    <row r="157" spans="2:4" x14ac:dyDescent="0.3">
      <c r="B157" s="109"/>
      <c r="C157" s="109"/>
      <c r="D157" s="39"/>
    </row>
    <row r="158" spans="2:4" x14ac:dyDescent="0.3">
      <c r="B158" s="109"/>
      <c r="C158" s="109"/>
      <c r="D158" s="39"/>
    </row>
    <row r="159" spans="2:4" x14ac:dyDescent="0.3">
      <c r="B159" s="109"/>
      <c r="C159" s="109"/>
      <c r="D159" s="39"/>
    </row>
    <row r="160" spans="2:4" x14ac:dyDescent="0.3">
      <c r="B160" s="109"/>
      <c r="C160" s="109"/>
      <c r="D160" s="39"/>
    </row>
    <row r="161" spans="2:4" x14ac:dyDescent="0.3">
      <c r="B161" s="109"/>
      <c r="C161" s="109"/>
      <c r="D161" s="39"/>
    </row>
    <row r="162" spans="2:4" x14ac:dyDescent="0.3">
      <c r="B162" s="109"/>
      <c r="C162" s="109"/>
      <c r="D162" s="39"/>
    </row>
    <row r="163" spans="2:4" x14ac:dyDescent="0.3">
      <c r="B163" s="109"/>
      <c r="C163" s="109"/>
      <c r="D163" s="39"/>
    </row>
    <row r="164" spans="2:4" x14ac:dyDescent="0.3">
      <c r="B164" s="109"/>
      <c r="C164" s="109"/>
      <c r="D164" s="39"/>
    </row>
    <row r="165" spans="2:4" x14ac:dyDescent="0.3">
      <c r="B165" s="109"/>
      <c r="C165" s="109"/>
      <c r="D165" s="39">
        <f>1969*10.764</f>
        <v>21194.315999999999</v>
      </c>
    </row>
    <row r="166" spans="2:4" x14ac:dyDescent="0.3">
      <c r="B166" s="109"/>
      <c r="C166" s="109"/>
      <c r="D166" s="39"/>
    </row>
    <row r="167" spans="2:4" x14ac:dyDescent="0.3">
      <c r="B167" s="109"/>
      <c r="C167" s="109"/>
      <c r="D167" s="39"/>
    </row>
    <row r="168" spans="2:4" x14ac:dyDescent="0.3">
      <c r="B168" s="109"/>
      <c r="C168" s="109"/>
      <c r="D168" s="39"/>
    </row>
    <row r="169" spans="2:4" x14ac:dyDescent="0.3">
      <c r="B169" s="109"/>
      <c r="C169" s="109"/>
      <c r="D169" s="39"/>
    </row>
    <row r="170" spans="2:4" x14ac:dyDescent="0.3">
      <c r="B170" s="109"/>
      <c r="C170" s="109"/>
      <c r="D170" s="39"/>
    </row>
    <row r="171" spans="2:4" x14ac:dyDescent="0.3">
      <c r="B171" s="109"/>
      <c r="C171" s="109"/>
      <c r="D171" s="39"/>
    </row>
    <row r="172" spans="2:4" x14ac:dyDescent="0.3">
      <c r="B172" s="109"/>
      <c r="C172" s="109"/>
      <c r="D172" s="39"/>
    </row>
    <row r="173" spans="2:4" x14ac:dyDescent="0.3">
      <c r="B173" s="109"/>
      <c r="C173" s="109"/>
      <c r="D173" s="39"/>
    </row>
    <row r="174" spans="2:4" x14ac:dyDescent="0.3">
      <c r="B174" s="109"/>
      <c r="C174" s="109"/>
      <c r="D174" s="39"/>
    </row>
    <row r="175" spans="2:4" x14ac:dyDescent="0.3">
      <c r="B175" s="109"/>
      <c r="C175" s="109"/>
      <c r="D175" s="39"/>
    </row>
    <row r="176" spans="2:4" x14ac:dyDescent="0.3">
      <c r="B176" s="109"/>
      <c r="C176" s="109"/>
      <c r="D176" s="39"/>
    </row>
    <row r="177" spans="2:4" x14ac:dyDescent="0.3">
      <c r="B177" s="109"/>
      <c r="C177" s="109"/>
      <c r="D177" s="39"/>
    </row>
    <row r="178" spans="2:4" x14ac:dyDescent="0.3">
      <c r="B178" s="109"/>
      <c r="C178" s="109"/>
      <c r="D178" s="39"/>
    </row>
    <row r="179" spans="2:4" x14ac:dyDescent="0.3">
      <c r="B179" s="109"/>
      <c r="C179" s="109"/>
      <c r="D179" s="39"/>
    </row>
    <row r="180" spans="2:4" x14ac:dyDescent="0.3">
      <c r="B180" s="109"/>
      <c r="C180" s="109"/>
      <c r="D180" s="39"/>
    </row>
    <row r="181" spans="2:4" x14ac:dyDescent="0.3">
      <c r="B181" s="109"/>
      <c r="C181" s="109"/>
      <c r="D181" s="39"/>
    </row>
    <row r="182" spans="2:4" x14ac:dyDescent="0.3">
      <c r="B182" s="109"/>
      <c r="C182" s="109"/>
      <c r="D182" s="39"/>
    </row>
    <row r="183" spans="2:4" x14ac:dyDescent="0.3">
      <c r="B183" s="109"/>
      <c r="C183" s="109"/>
      <c r="D183" s="39"/>
    </row>
    <row r="184" spans="2:4" x14ac:dyDescent="0.3">
      <c r="B184" s="109"/>
      <c r="C184" s="109"/>
      <c r="D184" s="39"/>
    </row>
    <row r="185" spans="2:4" x14ac:dyDescent="0.3">
      <c r="B185" s="109"/>
      <c r="C185" s="109"/>
      <c r="D185" s="39"/>
    </row>
    <row r="186" spans="2:4" x14ac:dyDescent="0.3">
      <c r="B186" s="109"/>
      <c r="C186" s="109"/>
      <c r="D186" s="39"/>
    </row>
    <row r="187" spans="2:4" x14ac:dyDescent="0.3">
      <c r="B187" s="109"/>
      <c r="C187" s="109"/>
      <c r="D187" s="39"/>
    </row>
    <row r="188" spans="2:4" x14ac:dyDescent="0.3">
      <c r="B188" s="109"/>
      <c r="C188" s="109"/>
      <c r="D188" s="39"/>
    </row>
    <row r="189" spans="2:4" x14ac:dyDescent="0.3">
      <c r="B189" s="109"/>
      <c r="C189" s="109"/>
      <c r="D189" s="39"/>
    </row>
    <row r="190" spans="2:4" x14ac:dyDescent="0.3">
      <c r="B190" s="109"/>
      <c r="C190" s="109"/>
      <c r="D190" s="39"/>
    </row>
    <row r="191" spans="2:4" x14ac:dyDescent="0.3">
      <c r="B191" s="109"/>
      <c r="C191" s="109"/>
      <c r="D191" s="39"/>
    </row>
    <row r="192" spans="2:4" x14ac:dyDescent="0.3">
      <c r="B192" s="109"/>
      <c r="C192" s="109"/>
      <c r="D192" s="39"/>
    </row>
    <row r="193" spans="2:4" x14ac:dyDescent="0.3">
      <c r="B193" s="109"/>
      <c r="C193" s="109"/>
      <c r="D193" s="39"/>
    </row>
    <row r="194" spans="2:4" x14ac:dyDescent="0.3">
      <c r="B194" s="109"/>
      <c r="C194" s="109"/>
      <c r="D194" s="39"/>
    </row>
    <row r="195" spans="2:4" x14ac:dyDescent="0.3">
      <c r="B195" s="109"/>
      <c r="C195" s="109"/>
      <c r="D195" s="39"/>
    </row>
    <row r="196" spans="2:4" x14ac:dyDescent="0.3">
      <c r="B196" s="109"/>
      <c r="C196" s="109"/>
      <c r="D196" s="39"/>
    </row>
    <row r="197" spans="2:4" x14ac:dyDescent="0.3">
      <c r="B197" s="109"/>
      <c r="C197" s="109"/>
      <c r="D197" s="39"/>
    </row>
    <row r="198" spans="2:4" x14ac:dyDescent="0.3">
      <c r="B198" s="109"/>
      <c r="C198" s="109"/>
      <c r="D198" s="39"/>
    </row>
    <row r="199" spans="2:4" x14ac:dyDescent="0.3">
      <c r="B199" s="109"/>
      <c r="C199" s="109"/>
      <c r="D199" s="39"/>
    </row>
    <row r="200" spans="2:4" x14ac:dyDescent="0.3">
      <c r="B200" s="109"/>
      <c r="C200" s="109"/>
      <c r="D200" s="39"/>
    </row>
    <row r="201" spans="2:4" x14ac:dyDescent="0.3">
      <c r="B201" s="109"/>
      <c r="C201" s="109"/>
      <c r="D201" s="39"/>
    </row>
    <row r="202" spans="2:4" x14ac:dyDescent="0.3">
      <c r="B202" s="109"/>
      <c r="C202" s="109"/>
      <c r="D202" s="39"/>
    </row>
    <row r="203" spans="2:4" x14ac:dyDescent="0.3">
      <c r="B203" s="109"/>
      <c r="C203" s="109"/>
      <c r="D203" s="39"/>
    </row>
    <row r="204" spans="2:4" x14ac:dyDescent="0.3">
      <c r="B204" s="109"/>
      <c r="C204" s="109"/>
      <c r="D204" s="39"/>
    </row>
    <row r="205" spans="2:4" x14ac:dyDescent="0.3">
      <c r="B205" s="109"/>
      <c r="C205" s="109"/>
      <c r="D205" s="39"/>
    </row>
    <row r="206" spans="2:4" x14ac:dyDescent="0.3">
      <c r="B206" s="109"/>
      <c r="C206" s="109"/>
      <c r="D206" s="39"/>
    </row>
    <row r="207" spans="2:4" x14ac:dyDescent="0.3">
      <c r="B207" s="109"/>
      <c r="C207" s="109"/>
      <c r="D207" s="39"/>
    </row>
    <row r="208" spans="2:4" x14ac:dyDescent="0.3">
      <c r="B208" s="109"/>
      <c r="C208" s="109"/>
      <c r="D208" s="39"/>
    </row>
    <row r="209" spans="2:4" x14ac:dyDescent="0.3">
      <c r="B209" s="109"/>
      <c r="C209" s="109"/>
      <c r="D209" s="39"/>
    </row>
    <row r="210" spans="2:4" x14ac:dyDescent="0.3">
      <c r="B210" s="109"/>
      <c r="C210" s="109"/>
      <c r="D210" s="39"/>
    </row>
    <row r="211" spans="2:4" x14ac:dyDescent="0.3">
      <c r="B211" s="109"/>
      <c r="C211" s="109"/>
      <c r="D211" s="39"/>
    </row>
    <row r="212" spans="2:4" x14ac:dyDescent="0.3">
      <c r="B212" s="109"/>
      <c r="C212" s="109"/>
      <c r="D212" s="39"/>
    </row>
    <row r="213" spans="2:4" x14ac:dyDescent="0.3">
      <c r="B213" s="109"/>
      <c r="C213" s="109"/>
      <c r="D213" s="39"/>
    </row>
    <row r="214" spans="2:4" x14ac:dyDescent="0.3">
      <c r="B214" s="109"/>
      <c r="C214" s="109"/>
      <c r="D214" s="39"/>
    </row>
    <row r="215" spans="2:4" x14ac:dyDescent="0.3">
      <c r="B215" s="109"/>
      <c r="C215" s="109"/>
      <c r="D215" s="39"/>
    </row>
    <row r="216" spans="2:4" x14ac:dyDescent="0.3">
      <c r="B216" s="109"/>
      <c r="C216" s="109"/>
      <c r="D216" s="39"/>
    </row>
    <row r="217" spans="2:4" x14ac:dyDescent="0.3">
      <c r="B217" s="109"/>
      <c r="C217" s="109"/>
      <c r="D217" s="39"/>
    </row>
    <row r="218" spans="2:4" x14ac:dyDescent="0.3">
      <c r="B218" s="109"/>
      <c r="C218" s="109"/>
      <c r="D218" s="39"/>
    </row>
    <row r="219" spans="2:4" x14ac:dyDescent="0.3">
      <c r="B219" s="109"/>
      <c r="C219" s="109"/>
      <c r="D219" s="39"/>
    </row>
    <row r="220" spans="2:4" x14ac:dyDescent="0.3">
      <c r="B220" s="109"/>
      <c r="C220" s="109"/>
      <c r="D220" s="39"/>
    </row>
    <row r="221" spans="2:4" x14ac:dyDescent="0.3">
      <c r="B221" s="109"/>
      <c r="C221" s="109"/>
      <c r="D221" s="39"/>
    </row>
    <row r="222" spans="2:4" x14ac:dyDescent="0.3">
      <c r="B222" s="109"/>
      <c r="C222" s="109"/>
      <c r="D222" s="39"/>
    </row>
  </sheetData>
  <mergeCells count="7">
    <mergeCell ref="B1:H1"/>
    <mergeCell ref="G69:G70"/>
    <mergeCell ref="B67:D67"/>
    <mergeCell ref="B72:D72"/>
    <mergeCell ref="B8:D8"/>
    <mergeCell ref="B50:N50"/>
    <mergeCell ref="B62:N62"/>
  </mergeCells>
  <phoneticPr fontId="10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52AC-3735-4D94-9B1D-A4A11E3F4B9E}">
  <dimension ref="A1:T62"/>
  <sheetViews>
    <sheetView topLeftCell="B20" workbookViewId="0">
      <selection activeCell="D63" sqref="D63"/>
    </sheetView>
  </sheetViews>
  <sheetFormatPr defaultRowHeight="15" x14ac:dyDescent="0.25"/>
  <cols>
    <col min="1" max="1" width="15.5703125" bestFit="1" customWidth="1"/>
    <col min="2" max="2" width="13.5703125" bestFit="1" customWidth="1"/>
    <col min="3" max="5" width="15.28515625" bestFit="1" customWidth="1"/>
    <col min="6" max="6" width="14.7109375" bestFit="1" customWidth="1"/>
    <col min="7" max="7" width="13.28515625" bestFit="1" customWidth="1"/>
    <col min="8" max="8" width="15.28515625" bestFit="1" customWidth="1"/>
    <col min="9" max="9" width="13.7109375" bestFit="1" customWidth="1"/>
    <col min="12" max="12" width="3.28515625" bestFit="1" customWidth="1"/>
    <col min="13" max="13" width="13.28515625" customWidth="1"/>
    <col min="14" max="14" width="10.42578125" bestFit="1" customWidth="1"/>
    <col min="15" max="15" width="18.140625" style="177" customWidth="1"/>
    <col min="16" max="16" width="15.5703125" customWidth="1"/>
    <col min="17" max="17" width="10.28515625" bestFit="1" customWidth="1"/>
    <col min="18" max="18" width="5" bestFit="1" customWidth="1"/>
    <col min="19" max="19" width="7.42578125" bestFit="1" customWidth="1"/>
    <col min="20" max="20" width="13.42578125" customWidth="1"/>
  </cols>
  <sheetData>
    <row r="1" spans="1:20" ht="16.5" x14ac:dyDescent="0.25">
      <c r="A1" s="197" t="s">
        <v>67</v>
      </c>
      <c r="B1" s="205" t="s">
        <v>420</v>
      </c>
      <c r="C1" s="206"/>
      <c r="D1" s="197" t="s">
        <v>421</v>
      </c>
      <c r="E1" s="199" t="s">
        <v>400</v>
      </c>
      <c r="F1" s="199" t="s">
        <v>401</v>
      </c>
      <c r="L1" s="178" t="s">
        <v>414</v>
      </c>
      <c r="M1" s="178" t="s">
        <v>415</v>
      </c>
      <c r="N1" s="178" t="s">
        <v>416</v>
      </c>
      <c r="O1" s="178" t="s">
        <v>417</v>
      </c>
      <c r="P1" s="178" t="s">
        <v>418</v>
      </c>
      <c r="Q1" s="178" t="s">
        <v>419</v>
      </c>
      <c r="R1" s="204" t="s">
        <v>420</v>
      </c>
      <c r="S1" s="204"/>
      <c r="T1" s="178" t="s">
        <v>421</v>
      </c>
    </row>
    <row r="2" spans="1:20" ht="16.5" x14ac:dyDescent="0.25">
      <c r="A2" s="198"/>
      <c r="B2" s="154" t="s">
        <v>422</v>
      </c>
      <c r="C2" s="68" t="s">
        <v>433</v>
      </c>
      <c r="D2" s="198"/>
      <c r="E2" s="200"/>
      <c r="F2" s="200"/>
      <c r="L2" s="179"/>
      <c r="M2" s="179"/>
      <c r="N2" s="179"/>
      <c r="O2" s="179"/>
      <c r="P2" s="179"/>
      <c r="Q2" s="179"/>
      <c r="R2" s="178" t="s">
        <v>422</v>
      </c>
      <c r="S2" s="178" t="s">
        <v>423</v>
      </c>
      <c r="T2" s="179"/>
    </row>
    <row r="3" spans="1:20" ht="33" x14ac:dyDescent="0.3">
      <c r="A3" s="71" t="s">
        <v>70</v>
      </c>
      <c r="B3" s="95">
        <v>2</v>
      </c>
      <c r="C3" s="95">
        <v>8</v>
      </c>
      <c r="D3" s="95">
        <v>8903</v>
      </c>
      <c r="E3" s="95">
        <v>700</v>
      </c>
      <c r="F3" s="95">
        <f>D3*E3</f>
        <v>6232100</v>
      </c>
      <c r="G3" s="153">
        <f>(B3*4046.86)+(C3*101.17)</f>
        <v>8903.08</v>
      </c>
      <c r="L3" s="180">
        <v>1</v>
      </c>
      <c r="M3" s="181" t="s">
        <v>69</v>
      </c>
      <c r="N3" s="182">
        <v>37981</v>
      </c>
      <c r="O3" s="181" t="s">
        <v>424</v>
      </c>
      <c r="P3" s="196" t="s">
        <v>425</v>
      </c>
      <c r="Q3" s="183">
        <v>115000</v>
      </c>
      <c r="R3" s="181">
        <v>2</v>
      </c>
      <c r="S3" s="181">
        <v>12</v>
      </c>
      <c r="T3" s="183">
        <v>9308</v>
      </c>
    </row>
    <row r="4" spans="1:20" ht="33" x14ac:dyDescent="0.3">
      <c r="A4" s="71" t="s">
        <v>71</v>
      </c>
      <c r="B4" s="95">
        <v>2</v>
      </c>
      <c r="C4" s="95">
        <v>2</v>
      </c>
      <c r="D4" s="95">
        <v>8296</v>
      </c>
      <c r="E4" s="95">
        <v>700</v>
      </c>
      <c r="F4" s="95">
        <f t="shared" ref="F4:F21" si="0">D4*E4</f>
        <v>5807200</v>
      </c>
      <c r="G4" s="153">
        <f t="shared" ref="G4:G16" si="1">(B4*4047)+(C4*101)</f>
        <v>8296</v>
      </c>
      <c r="L4" s="181">
        <v>2</v>
      </c>
      <c r="M4" s="181">
        <v>492</v>
      </c>
      <c r="N4" s="182">
        <v>38393</v>
      </c>
      <c r="O4" s="181" t="s">
        <v>426</v>
      </c>
      <c r="P4" s="196"/>
      <c r="Q4" s="183">
        <v>434775</v>
      </c>
      <c r="R4" s="181">
        <v>8</v>
      </c>
      <c r="S4" s="181">
        <v>21</v>
      </c>
      <c r="T4" s="183">
        <v>34500</v>
      </c>
    </row>
    <row r="5" spans="1:20" ht="16.5" x14ac:dyDescent="0.3">
      <c r="A5" s="71" t="s">
        <v>72</v>
      </c>
      <c r="B5" s="95">
        <v>1</v>
      </c>
      <c r="C5" s="95">
        <v>39</v>
      </c>
      <c r="D5" s="95">
        <v>7994</v>
      </c>
      <c r="E5" s="95">
        <v>700</v>
      </c>
      <c r="F5" s="95">
        <f t="shared" si="0"/>
        <v>5595800</v>
      </c>
      <c r="G5" s="153">
        <f t="shared" si="1"/>
        <v>7986</v>
      </c>
      <c r="L5" s="181">
        <v>3</v>
      </c>
      <c r="M5" s="181">
        <v>495</v>
      </c>
      <c r="N5" s="207">
        <v>37979</v>
      </c>
      <c r="O5" s="196" t="s">
        <v>427</v>
      </c>
      <c r="P5" s="196"/>
      <c r="Q5" s="183">
        <v>442500</v>
      </c>
      <c r="R5" s="181">
        <v>8</v>
      </c>
      <c r="S5" s="181">
        <v>34</v>
      </c>
      <c r="T5" s="183">
        <v>35816</v>
      </c>
    </row>
    <row r="6" spans="1:20" ht="16.5" x14ac:dyDescent="0.3">
      <c r="A6" s="70" t="s">
        <v>69</v>
      </c>
      <c r="B6" s="95">
        <v>2</v>
      </c>
      <c r="C6" s="95">
        <v>12</v>
      </c>
      <c r="D6" s="94">
        <v>9308</v>
      </c>
      <c r="E6" s="95">
        <v>700</v>
      </c>
      <c r="F6" s="95">
        <f t="shared" si="0"/>
        <v>6515600</v>
      </c>
      <c r="G6" s="153">
        <f t="shared" si="1"/>
        <v>9306</v>
      </c>
      <c r="L6" s="181">
        <v>4</v>
      </c>
      <c r="M6" s="181">
        <v>496</v>
      </c>
      <c r="N6" s="207"/>
      <c r="O6" s="196"/>
      <c r="P6" s="196"/>
      <c r="Q6" s="208">
        <v>1118750</v>
      </c>
      <c r="R6" s="181">
        <v>5</v>
      </c>
      <c r="S6" s="181">
        <v>6</v>
      </c>
      <c r="T6" s="183">
        <v>20842</v>
      </c>
    </row>
    <row r="7" spans="1:20" ht="16.5" x14ac:dyDescent="0.3">
      <c r="A7" s="155">
        <v>486</v>
      </c>
      <c r="B7" s="156">
        <v>8</v>
      </c>
      <c r="C7" s="156">
        <v>5</v>
      </c>
      <c r="D7" s="156">
        <v>32881</v>
      </c>
      <c r="E7" s="156">
        <v>700</v>
      </c>
      <c r="F7" s="156">
        <f t="shared" si="0"/>
        <v>23016700</v>
      </c>
      <c r="G7" s="157">
        <f t="shared" si="1"/>
        <v>32881</v>
      </c>
      <c r="L7" s="181">
        <v>5</v>
      </c>
      <c r="M7" s="181">
        <v>499</v>
      </c>
      <c r="N7" s="207"/>
      <c r="O7" s="196"/>
      <c r="P7" s="196"/>
      <c r="Q7" s="208"/>
      <c r="R7" s="181">
        <v>11</v>
      </c>
      <c r="S7" s="181" t="s">
        <v>428</v>
      </c>
      <c r="T7" s="183">
        <v>44515</v>
      </c>
    </row>
    <row r="8" spans="1:20" ht="16.5" x14ac:dyDescent="0.3">
      <c r="A8" s="155">
        <v>492</v>
      </c>
      <c r="B8" s="156">
        <v>8</v>
      </c>
      <c r="C8" s="156">
        <v>21</v>
      </c>
      <c r="D8" s="156">
        <v>34500</v>
      </c>
      <c r="E8" s="156">
        <v>700</v>
      </c>
      <c r="F8" s="156">
        <f t="shared" si="0"/>
        <v>24150000</v>
      </c>
      <c r="G8" s="157">
        <f t="shared" si="1"/>
        <v>34497</v>
      </c>
      <c r="L8" s="181">
        <v>6</v>
      </c>
      <c r="M8" s="181" t="s">
        <v>70</v>
      </c>
      <c r="N8" s="207"/>
      <c r="O8" s="196"/>
      <c r="P8" s="196"/>
      <c r="Q8" s="208"/>
      <c r="R8" s="181">
        <v>2</v>
      </c>
      <c r="S8" s="181">
        <v>8</v>
      </c>
      <c r="T8" s="183">
        <v>8903</v>
      </c>
    </row>
    <row r="9" spans="1:20" ht="16.5" x14ac:dyDescent="0.3">
      <c r="A9" s="71">
        <v>495</v>
      </c>
      <c r="B9" s="95">
        <v>8</v>
      </c>
      <c r="C9" s="95">
        <v>34</v>
      </c>
      <c r="D9" s="95">
        <v>35816</v>
      </c>
      <c r="E9" s="95">
        <v>700</v>
      </c>
      <c r="F9" s="95">
        <f t="shared" si="0"/>
        <v>25071200</v>
      </c>
      <c r="G9" s="153">
        <f t="shared" si="1"/>
        <v>35810</v>
      </c>
      <c r="L9" s="181">
        <v>7</v>
      </c>
      <c r="M9" s="181" t="s">
        <v>71</v>
      </c>
      <c r="N9" s="207"/>
      <c r="O9" s="196"/>
      <c r="P9" s="196"/>
      <c r="Q9" s="208"/>
      <c r="R9" s="181">
        <v>2</v>
      </c>
      <c r="S9" s="181">
        <v>2</v>
      </c>
      <c r="T9" s="183">
        <v>8296</v>
      </c>
    </row>
    <row r="10" spans="1:20" ht="16.5" x14ac:dyDescent="0.3">
      <c r="A10" s="72">
        <v>496</v>
      </c>
      <c r="B10" s="95">
        <v>5</v>
      </c>
      <c r="C10" s="95">
        <v>6</v>
      </c>
      <c r="D10" s="96">
        <v>20842</v>
      </c>
      <c r="E10" s="95">
        <v>700</v>
      </c>
      <c r="F10" s="95">
        <f t="shared" si="0"/>
        <v>14589400</v>
      </c>
      <c r="G10" s="153">
        <f t="shared" si="1"/>
        <v>20841</v>
      </c>
      <c r="L10" s="181">
        <v>8</v>
      </c>
      <c r="M10" s="181" t="s">
        <v>72</v>
      </c>
      <c r="N10" s="207"/>
      <c r="O10" s="196"/>
      <c r="P10" s="196"/>
      <c r="Q10" s="208"/>
      <c r="R10" s="181">
        <v>1</v>
      </c>
      <c r="S10" s="181">
        <v>39</v>
      </c>
      <c r="T10" s="183">
        <v>7994</v>
      </c>
    </row>
    <row r="11" spans="1:20" ht="16.5" x14ac:dyDescent="0.3">
      <c r="A11" s="71">
        <v>497</v>
      </c>
      <c r="B11" s="95">
        <v>5</v>
      </c>
      <c r="C11" s="95">
        <v>21</v>
      </c>
      <c r="D11" s="95">
        <v>22360</v>
      </c>
      <c r="E11" s="95">
        <v>700</v>
      </c>
      <c r="F11" s="95">
        <f t="shared" si="0"/>
        <v>15652000</v>
      </c>
      <c r="G11" s="153">
        <f t="shared" si="1"/>
        <v>22356</v>
      </c>
      <c r="L11" s="181">
        <v>9</v>
      </c>
      <c r="M11" s="181">
        <v>497</v>
      </c>
      <c r="N11" s="207"/>
      <c r="O11" s="196"/>
      <c r="P11" s="196"/>
      <c r="Q11" s="208">
        <v>496250</v>
      </c>
      <c r="R11" s="181">
        <v>5</v>
      </c>
      <c r="S11" s="181">
        <v>21</v>
      </c>
      <c r="T11" s="183">
        <v>22360</v>
      </c>
    </row>
    <row r="12" spans="1:20" ht="16.5" x14ac:dyDescent="0.3">
      <c r="A12" s="71">
        <v>498</v>
      </c>
      <c r="B12" s="95">
        <v>4</v>
      </c>
      <c r="C12" s="95">
        <v>16</v>
      </c>
      <c r="D12" s="95">
        <v>17807</v>
      </c>
      <c r="E12" s="95">
        <v>700</v>
      </c>
      <c r="F12" s="95">
        <f t="shared" si="0"/>
        <v>12464900</v>
      </c>
      <c r="G12" s="153">
        <f t="shared" si="1"/>
        <v>17804</v>
      </c>
      <c r="L12" s="181">
        <v>10</v>
      </c>
      <c r="M12" s="181">
        <v>498</v>
      </c>
      <c r="N12" s="207"/>
      <c r="O12" s="196"/>
      <c r="P12" s="196"/>
      <c r="Q12" s="208"/>
      <c r="R12" s="181">
        <v>4</v>
      </c>
      <c r="S12" s="181">
        <v>16</v>
      </c>
      <c r="T12" s="183">
        <v>17807</v>
      </c>
    </row>
    <row r="13" spans="1:20" ht="33" x14ac:dyDescent="0.3">
      <c r="A13" s="71">
        <v>499</v>
      </c>
      <c r="B13" s="95">
        <v>11</v>
      </c>
      <c r="C13" s="95">
        <v>0</v>
      </c>
      <c r="D13" s="95">
        <v>44515</v>
      </c>
      <c r="E13" s="95">
        <v>700</v>
      </c>
      <c r="F13" s="95">
        <f t="shared" si="0"/>
        <v>31160500</v>
      </c>
      <c r="G13" s="153">
        <f t="shared" si="1"/>
        <v>44517</v>
      </c>
      <c r="L13" s="181">
        <v>11</v>
      </c>
      <c r="M13" s="181">
        <v>500</v>
      </c>
      <c r="N13" s="182">
        <v>37981</v>
      </c>
      <c r="O13" s="181" t="s">
        <v>429</v>
      </c>
      <c r="P13" s="196"/>
      <c r="Q13" s="183">
        <v>443750</v>
      </c>
      <c r="R13" s="181">
        <v>8</v>
      </c>
      <c r="S13" s="181">
        <v>35</v>
      </c>
      <c r="T13" s="183">
        <v>35917</v>
      </c>
    </row>
    <row r="14" spans="1:20" ht="16.5" x14ac:dyDescent="0.3">
      <c r="A14" s="71" t="s">
        <v>403</v>
      </c>
      <c r="B14" s="95">
        <v>8</v>
      </c>
      <c r="C14" s="95">
        <v>35</v>
      </c>
      <c r="D14" s="95">
        <v>35917</v>
      </c>
      <c r="E14" s="95">
        <v>700</v>
      </c>
      <c r="F14" s="95">
        <f t="shared" si="0"/>
        <v>25141900</v>
      </c>
      <c r="G14" s="153">
        <f t="shared" si="1"/>
        <v>35911</v>
      </c>
      <c r="L14" s="181">
        <v>12</v>
      </c>
      <c r="M14" s="181" t="s">
        <v>73</v>
      </c>
      <c r="N14" s="207">
        <v>37981</v>
      </c>
      <c r="O14" s="196" t="s">
        <v>430</v>
      </c>
      <c r="P14" s="196"/>
      <c r="Q14" s="208">
        <v>461250</v>
      </c>
      <c r="R14" s="181">
        <v>5</v>
      </c>
      <c r="S14" s="181">
        <v>27</v>
      </c>
      <c r="T14" s="183">
        <v>22967</v>
      </c>
    </row>
    <row r="15" spans="1:20" ht="16.5" x14ac:dyDescent="0.3">
      <c r="A15" s="71" t="s">
        <v>73</v>
      </c>
      <c r="B15" s="95">
        <v>5</v>
      </c>
      <c r="C15" s="95">
        <v>27</v>
      </c>
      <c r="D15" s="95">
        <v>22967</v>
      </c>
      <c r="E15" s="95">
        <v>700</v>
      </c>
      <c r="F15" s="95">
        <f t="shared" si="0"/>
        <v>16076900</v>
      </c>
      <c r="G15" s="153">
        <f t="shared" si="1"/>
        <v>22962</v>
      </c>
      <c r="L15" s="181">
        <v>13</v>
      </c>
      <c r="M15" s="181" t="s">
        <v>74</v>
      </c>
      <c r="N15" s="207"/>
      <c r="O15" s="196"/>
      <c r="P15" s="196"/>
      <c r="Q15" s="208"/>
      <c r="R15" s="181">
        <v>3</v>
      </c>
      <c r="S15" s="181">
        <v>22</v>
      </c>
      <c r="T15" s="183">
        <v>14367</v>
      </c>
    </row>
    <row r="16" spans="1:20" ht="16.5" x14ac:dyDescent="0.3">
      <c r="A16" s="71" t="s">
        <v>74</v>
      </c>
      <c r="B16" s="95">
        <v>3</v>
      </c>
      <c r="C16" s="95">
        <v>22</v>
      </c>
      <c r="D16" s="95">
        <v>14367</v>
      </c>
      <c r="E16" s="95">
        <v>700</v>
      </c>
      <c r="F16" s="95">
        <f t="shared" si="0"/>
        <v>10056900</v>
      </c>
      <c r="G16" s="153">
        <f t="shared" si="1"/>
        <v>14363</v>
      </c>
      <c r="L16" s="181">
        <v>14</v>
      </c>
      <c r="M16" s="181" t="s">
        <v>75</v>
      </c>
      <c r="N16" s="207">
        <v>39221</v>
      </c>
      <c r="O16" s="196" t="s">
        <v>431</v>
      </c>
      <c r="P16" s="196"/>
      <c r="Q16" s="208">
        <v>4000000</v>
      </c>
      <c r="R16" s="181">
        <v>11</v>
      </c>
      <c r="S16" s="181">
        <v>5</v>
      </c>
      <c r="T16" s="183">
        <v>45022</v>
      </c>
    </row>
    <row r="17" spans="1:20" ht="16.5" x14ac:dyDescent="0.3">
      <c r="A17" s="159" t="s">
        <v>75</v>
      </c>
      <c r="B17" s="160">
        <v>11</v>
      </c>
      <c r="C17" s="160">
        <v>5</v>
      </c>
      <c r="D17" s="160">
        <v>45022</v>
      </c>
      <c r="E17" s="160">
        <v>700</v>
      </c>
      <c r="F17" s="160">
        <f t="shared" si="0"/>
        <v>31515400</v>
      </c>
      <c r="G17" s="161">
        <f>4.5022*10000</f>
        <v>45022</v>
      </c>
      <c r="L17" s="181">
        <v>15</v>
      </c>
      <c r="M17" s="181" t="s">
        <v>76</v>
      </c>
      <c r="N17" s="207"/>
      <c r="O17" s="196"/>
      <c r="P17" s="196"/>
      <c r="Q17" s="208"/>
      <c r="R17" s="181">
        <v>3</v>
      </c>
      <c r="S17" s="181">
        <v>21</v>
      </c>
      <c r="T17" s="183">
        <v>14266</v>
      </c>
    </row>
    <row r="18" spans="1:20" ht="33" x14ac:dyDescent="0.3">
      <c r="A18" s="159" t="s">
        <v>76</v>
      </c>
      <c r="B18" s="160">
        <v>3</v>
      </c>
      <c r="C18" s="160">
        <v>21</v>
      </c>
      <c r="D18" s="160">
        <v>14266</v>
      </c>
      <c r="E18" s="160">
        <v>700</v>
      </c>
      <c r="F18" s="160">
        <f t="shared" si="0"/>
        <v>9986200</v>
      </c>
      <c r="G18" s="161">
        <f>1.4265*10000</f>
        <v>14265.000000000002</v>
      </c>
      <c r="L18" s="181">
        <v>16</v>
      </c>
      <c r="M18" s="181">
        <v>486</v>
      </c>
      <c r="N18" s="182">
        <v>38534</v>
      </c>
      <c r="O18" s="181" t="s">
        <v>444</v>
      </c>
      <c r="P18" s="196"/>
      <c r="Q18" s="183">
        <v>450946</v>
      </c>
      <c r="R18" s="181">
        <v>8</v>
      </c>
      <c r="S18" s="181">
        <v>5</v>
      </c>
      <c r="T18" s="183">
        <v>32881</v>
      </c>
    </row>
    <row r="19" spans="1:20" ht="33" x14ac:dyDescent="0.3">
      <c r="A19" s="71" t="s">
        <v>404</v>
      </c>
      <c r="B19" s="95">
        <v>8</v>
      </c>
      <c r="C19" s="95">
        <v>0</v>
      </c>
      <c r="D19" s="95">
        <f>3.2375*10000</f>
        <v>32375</v>
      </c>
      <c r="E19" s="95">
        <v>700</v>
      </c>
      <c r="F19" s="95">
        <f t="shared" si="0"/>
        <v>22662500</v>
      </c>
      <c r="G19" s="153">
        <f t="shared" ref="G19:G21" si="2">(B19*4047)+(C19*101)</f>
        <v>32376</v>
      </c>
      <c r="L19" s="181">
        <v>17</v>
      </c>
      <c r="M19" s="181" t="s">
        <v>442</v>
      </c>
      <c r="N19" s="182">
        <v>44942</v>
      </c>
      <c r="O19" s="181" t="s">
        <v>445</v>
      </c>
      <c r="P19" s="196"/>
      <c r="Q19" s="183">
        <v>13600000</v>
      </c>
      <c r="R19" s="181">
        <v>8</v>
      </c>
      <c r="S19" s="181" t="s">
        <v>428</v>
      </c>
      <c r="T19" s="183">
        <v>32375</v>
      </c>
    </row>
    <row r="20" spans="1:20" ht="49.5" x14ac:dyDescent="0.3">
      <c r="A20" s="71" t="s">
        <v>405</v>
      </c>
      <c r="B20" s="95">
        <v>3</v>
      </c>
      <c r="C20" s="95">
        <v>6</v>
      </c>
      <c r="D20" s="95">
        <f>1.2748*10000</f>
        <v>12748</v>
      </c>
      <c r="E20" s="95">
        <v>700</v>
      </c>
      <c r="F20" s="95">
        <f t="shared" si="0"/>
        <v>8923600</v>
      </c>
      <c r="G20" s="153">
        <f t="shared" si="2"/>
        <v>12747</v>
      </c>
      <c r="L20" s="181">
        <v>18</v>
      </c>
      <c r="M20" s="181" t="s">
        <v>443</v>
      </c>
      <c r="N20" s="182">
        <v>44942</v>
      </c>
      <c r="O20" s="181" t="s">
        <v>446</v>
      </c>
      <c r="P20" s="196"/>
      <c r="Q20" s="183">
        <v>4570650</v>
      </c>
      <c r="R20" s="181">
        <v>3</v>
      </c>
      <c r="S20" s="181">
        <v>6</v>
      </c>
      <c r="T20" s="183">
        <v>12748</v>
      </c>
    </row>
    <row r="21" spans="1:20" ht="49.5" x14ac:dyDescent="0.3">
      <c r="A21" s="155" t="s">
        <v>406</v>
      </c>
      <c r="B21" s="156">
        <v>7</v>
      </c>
      <c r="C21" s="156">
        <v>0</v>
      </c>
      <c r="D21" s="156">
        <f>2.8328*10000</f>
        <v>28328.000000000004</v>
      </c>
      <c r="E21" s="156">
        <v>700</v>
      </c>
      <c r="F21" s="156">
        <f t="shared" si="0"/>
        <v>19829600.000000004</v>
      </c>
      <c r="G21" s="157">
        <f t="shared" si="2"/>
        <v>28329</v>
      </c>
      <c r="H21" s="158">
        <f>2.2663*10000</f>
        <v>22663.000000000004</v>
      </c>
      <c r="L21" s="181">
        <v>19</v>
      </c>
      <c r="M21" s="181">
        <v>472</v>
      </c>
      <c r="N21" s="182">
        <v>45149</v>
      </c>
      <c r="O21" s="181" t="s">
        <v>447</v>
      </c>
      <c r="P21" s="196"/>
      <c r="Q21" s="183">
        <v>4830000</v>
      </c>
      <c r="R21" s="181">
        <v>7</v>
      </c>
      <c r="S21" s="181" t="s">
        <v>428</v>
      </c>
      <c r="T21" s="183">
        <v>28328</v>
      </c>
    </row>
    <row r="22" spans="1:20" ht="16.5" x14ac:dyDescent="0.3">
      <c r="A22" s="73" t="s">
        <v>28</v>
      </c>
      <c r="B22" s="95"/>
      <c r="C22" s="95"/>
      <c r="D22" s="97">
        <f>SUM(D3:D21)</f>
        <v>449212</v>
      </c>
      <c r="E22" s="97"/>
      <c r="F22" s="97">
        <f>SUM(F3:F21)</f>
        <v>314448400</v>
      </c>
      <c r="L22" s="204" t="s">
        <v>432</v>
      </c>
      <c r="M22" s="204"/>
      <c r="N22" s="204"/>
      <c r="O22" s="204"/>
      <c r="P22" s="204"/>
      <c r="Q22" s="184">
        <f>SUM(Q3:Q21)</f>
        <v>30963871</v>
      </c>
      <c r="R22" s="179"/>
      <c r="S22" s="179"/>
      <c r="T22" s="184">
        <f>SUM(T3:T21)</f>
        <v>449212</v>
      </c>
    </row>
    <row r="24" spans="1:20" ht="16.5" x14ac:dyDescent="0.25">
      <c r="A24" s="201" t="s">
        <v>402</v>
      </c>
      <c r="B24" s="202"/>
      <c r="C24" s="202"/>
      <c r="D24" s="203"/>
      <c r="F24" s="201" t="s">
        <v>434</v>
      </c>
      <c r="G24" s="202"/>
      <c r="H24" s="202"/>
      <c r="I24" s="203"/>
      <c r="M24" t="s">
        <v>440</v>
      </c>
    </row>
    <row r="25" spans="1:20" ht="16.5" x14ac:dyDescent="0.25">
      <c r="A25" s="60" t="s">
        <v>67</v>
      </c>
      <c r="B25" s="60" t="s">
        <v>421</v>
      </c>
      <c r="C25" s="138" t="s">
        <v>400</v>
      </c>
      <c r="D25" s="138" t="s">
        <v>401</v>
      </c>
      <c r="F25" s="60" t="s">
        <v>67</v>
      </c>
      <c r="G25" s="60" t="s">
        <v>421</v>
      </c>
      <c r="H25" s="138" t="s">
        <v>400</v>
      </c>
      <c r="I25" s="138" t="s">
        <v>401</v>
      </c>
    </row>
    <row r="26" spans="1:20" ht="16.5" x14ac:dyDescent="0.3">
      <c r="A26" s="71" t="s">
        <v>70</v>
      </c>
      <c r="B26" s="95">
        <v>8903</v>
      </c>
      <c r="C26" s="95">
        <v>700</v>
      </c>
      <c r="D26" s="95">
        <f>B26*C26</f>
        <v>6232100</v>
      </c>
      <c r="F26" s="155">
        <v>486</v>
      </c>
      <c r="G26" s="156">
        <v>32881</v>
      </c>
      <c r="H26" s="156">
        <v>700</v>
      </c>
      <c r="I26" s="156">
        <f t="shared" ref="I26:I29" si="3">G26*H26</f>
        <v>23016700</v>
      </c>
    </row>
    <row r="27" spans="1:20" ht="16.5" x14ac:dyDescent="0.3">
      <c r="A27" s="71" t="s">
        <v>71</v>
      </c>
      <c r="B27" s="95">
        <v>8296</v>
      </c>
      <c r="C27" s="95">
        <v>700</v>
      </c>
      <c r="D27" s="95">
        <f t="shared" ref="D27:D40" si="4">B27*C27</f>
        <v>5807200</v>
      </c>
      <c r="F27" s="155">
        <v>492</v>
      </c>
      <c r="G27" s="156">
        <v>34500</v>
      </c>
      <c r="H27" s="156">
        <v>700</v>
      </c>
      <c r="I27" s="156">
        <f t="shared" si="3"/>
        <v>24150000</v>
      </c>
    </row>
    <row r="28" spans="1:20" ht="16.5" x14ac:dyDescent="0.3">
      <c r="A28" s="71" t="s">
        <v>72</v>
      </c>
      <c r="B28" s="95">
        <v>7994</v>
      </c>
      <c r="C28" s="95">
        <v>700</v>
      </c>
      <c r="D28" s="95">
        <f t="shared" si="4"/>
        <v>5595800</v>
      </c>
      <c r="F28" s="71" t="s">
        <v>75</v>
      </c>
      <c r="G28" s="95">
        <v>45022</v>
      </c>
      <c r="H28" s="95">
        <v>700</v>
      </c>
      <c r="I28" s="95">
        <f t="shared" si="3"/>
        <v>31515400</v>
      </c>
    </row>
    <row r="29" spans="1:20" ht="16.5" x14ac:dyDescent="0.3">
      <c r="A29" s="70" t="s">
        <v>69</v>
      </c>
      <c r="B29" s="94">
        <v>9308</v>
      </c>
      <c r="C29" s="95">
        <v>700</v>
      </c>
      <c r="D29" s="95">
        <f t="shared" si="4"/>
        <v>6515600</v>
      </c>
      <c r="F29" s="71" t="s">
        <v>76</v>
      </c>
      <c r="G29" s="95">
        <v>14266</v>
      </c>
      <c r="H29" s="95">
        <v>700</v>
      </c>
      <c r="I29" s="95">
        <f t="shared" si="3"/>
        <v>9986200</v>
      </c>
    </row>
    <row r="30" spans="1:20" ht="16.5" x14ac:dyDescent="0.3">
      <c r="A30" s="71">
        <v>495</v>
      </c>
      <c r="B30" s="95">
        <v>35816</v>
      </c>
      <c r="C30" s="95">
        <v>700</v>
      </c>
      <c r="D30" s="95">
        <f t="shared" si="4"/>
        <v>25071200</v>
      </c>
      <c r="F30" s="73" t="s">
        <v>28</v>
      </c>
      <c r="G30" s="97">
        <f>SUM(G26:G29)</f>
        <v>126669</v>
      </c>
      <c r="H30" s="97"/>
      <c r="I30" s="97">
        <f>SUM(I26:I29)</f>
        <v>88668300</v>
      </c>
    </row>
    <row r="31" spans="1:20" ht="16.5" x14ac:dyDescent="0.3">
      <c r="A31" s="72">
        <v>496</v>
      </c>
      <c r="B31" s="96">
        <v>20842</v>
      </c>
      <c r="C31" s="95">
        <v>700</v>
      </c>
      <c r="D31" s="95">
        <f t="shared" si="4"/>
        <v>14589400</v>
      </c>
    </row>
    <row r="32" spans="1:20" ht="16.5" x14ac:dyDescent="0.3">
      <c r="A32" s="71">
        <v>497</v>
      </c>
      <c r="B32" s="95">
        <v>22360</v>
      </c>
      <c r="C32" s="95">
        <v>700</v>
      </c>
      <c r="D32" s="95">
        <f t="shared" si="4"/>
        <v>15652000</v>
      </c>
    </row>
    <row r="33" spans="1:9" ht="16.5" x14ac:dyDescent="0.3">
      <c r="A33" s="71">
        <v>498</v>
      </c>
      <c r="B33" s="95">
        <v>17807</v>
      </c>
      <c r="C33" s="95">
        <v>700</v>
      </c>
      <c r="D33" s="95">
        <f t="shared" si="4"/>
        <v>12464900</v>
      </c>
    </row>
    <row r="34" spans="1:9" ht="16.5" x14ac:dyDescent="0.3">
      <c r="A34" s="71">
        <v>499</v>
      </c>
      <c r="B34" s="95">
        <v>44515</v>
      </c>
      <c r="C34" s="95">
        <v>700</v>
      </c>
      <c r="D34" s="95">
        <f t="shared" si="4"/>
        <v>31160500</v>
      </c>
      <c r="F34" s="175">
        <v>10000000</v>
      </c>
    </row>
    <row r="35" spans="1:9" ht="16.5" x14ac:dyDescent="0.3">
      <c r="A35" s="71" t="s">
        <v>403</v>
      </c>
      <c r="B35" s="95">
        <v>35917</v>
      </c>
      <c r="C35" s="95">
        <v>700</v>
      </c>
      <c r="D35" s="95">
        <f t="shared" si="4"/>
        <v>25141900</v>
      </c>
      <c r="F35" s="176">
        <f>F34/D22</f>
        <v>22.261204064005415</v>
      </c>
    </row>
    <row r="36" spans="1:9" ht="16.5" x14ac:dyDescent="0.3">
      <c r="A36" s="71" t="s">
        <v>73</v>
      </c>
      <c r="B36" s="95">
        <v>22967</v>
      </c>
      <c r="C36" s="95">
        <v>700</v>
      </c>
      <c r="D36" s="95">
        <f t="shared" si="4"/>
        <v>16076900</v>
      </c>
      <c r="F36" s="176">
        <f>F35*B41</f>
        <v>7180195.542416499</v>
      </c>
    </row>
    <row r="37" spans="1:9" ht="16.5" x14ac:dyDescent="0.3">
      <c r="A37" s="71" t="s">
        <v>74</v>
      </c>
      <c r="B37" s="95">
        <v>14367</v>
      </c>
      <c r="C37" s="95">
        <v>700</v>
      </c>
      <c r="D37" s="95">
        <f t="shared" si="4"/>
        <v>10056900</v>
      </c>
      <c r="F37" s="176">
        <f>F35*G30</f>
        <v>2819804.4575835019</v>
      </c>
    </row>
    <row r="38" spans="1:9" ht="16.5" x14ac:dyDescent="0.3">
      <c r="A38" s="71" t="s">
        <v>442</v>
      </c>
      <c r="B38" s="95">
        <f>3.2375*10000</f>
        <v>32375</v>
      </c>
      <c r="C38" s="95">
        <v>700</v>
      </c>
      <c r="D38" s="95">
        <f t="shared" si="4"/>
        <v>22662500</v>
      </c>
    </row>
    <row r="39" spans="1:9" ht="16.5" x14ac:dyDescent="0.3">
      <c r="A39" s="71" t="s">
        <v>443</v>
      </c>
      <c r="B39" s="95">
        <f>1.2748*10000</f>
        <v>12748</v>
      </c>
      <c r="C39" s="95">
        <v>700</v>
      </c>
      <c r="D39" s="95">
        <f t="shared" si="4"/>
        <v>8923600</v>
      </c>
    </row>
    <row r="40" spans="1:9" ht="16.5" x14ac:dyDescent="0.3">
      <c r="A40" s="71">
        <v>472</v>
      </c>
      <c r="B40" s="95">
        <f>2.8328*10000</f>
        <v>28328.000000000004</v>
      </c>
      <c r="C40" s="95">
        <v>700</v>
      </c>
      <c r="D40" s="95">
        <f t="shared" si="4"/>
        <v>19829600.000000004</v>
      </c>
    </row>
    <row r="41" spans="1:9" ht="16.5" x14ac:dyDescent="0.3">
      <c r="A41" s="73" t="s">
        <v>28</v>
      </c>
      <c r="B41" s="97">
        <f>SUM(B26:B40)</f>
        <v>322543</v>
      </c>
      <c r="C41" s="97"/>
      <c r="D41" s="97">
        <f>SUM(D26:D40)</f>
        <v>225780100</v>
      </c>
    </row>
    <row r="44" spans="1:9" ht="16.5" x14ac:dyDescent="0.25">
      <c r="A44" s="201" t="s">
        <v>438</v>
      </c>
      <c r="B44" s="202"/>
      <c r="C44" s="202"/>
      <c r="D44" s="203"/>
      <c r="F44" s="201" t="s">
        <v>439</v>
      </c>
      <c r="G44" s="202"/>
      <c r="H44" s="202"/>
      <c r="I44" s="203"/>
    </row>
    <row r="45" spans="1:9" ht="16.5" x14ac:dyDescent="0.25">
      <c r="A45" s="60" t="s">
        <v>67</v>
      </c>
      <c r="B45" s="60" t="s">
        <v>421</v>
      </c>
      <c r="C45" s="138" t="s">
        <v>400</v>
      </c>
      <c r="D45" s="138" t="s">
        <v>401</v>
      </c>
      <c r="F45" s="60" t="s">
        <v>67</v>
      </c>
      <c r="G45" s="60" t="s">
        <v>421</v>
      </c>
      <c r="H45" s="138" t="s">
        <v>400</v>
      </c>
      <c r="I45" s="138" t="s">
        <v>401</v>
      </c>
    </row>
    <row r="46" spans="1:9" ht="16.5" x14ac:dyDescent="0.3">
      <c r="A46" s="71" t="s">
        <v>70</v>
      </c>
      <c r="B46" s="95">
        <v>8903</v>
      </c>
      <c r="C46" s="95">
        <v>623</v>
      </c>
      <c r="D46" s="95">
        <f>B46*C46</f>
        <v>5546569</v>
      </c>
      <c r="F46" s="155">
        <v>486</v>
      </c>
      <c r="G46" s="156">
        <v>32881</v>
      </c>
      <c r="H46" s="156">
        <v>623</v>
      </c>
      <c r="I46" s="156">
        <f t="shared" ref="I46:I49" si="5">G46*H46</f>
        <v>20484863</v>
      </c>
    </row>
    <row r="47" spans="1:9" ht="16.5" x14ac:dyDescent="0.3">
      <c r="A47" s="71" t="s">
        <v>71</v>
      </c>
      <c r="B47" s="95">
        <v>8296</v>
      </c>
      <c r="C47" s="95">
        <v>623</v>
      </c>
      <c r="D47" s="95">
        <f t="shared" ref="D47:D60" si="6">B47*C47</f>
        <v>5168408</v>
      </c>
      <c r="F47" s="155">
        <v>492</v>
      </c>
      <c r="G47" s="156">
        <v>34500</v>
      </c>
      <c r="H47" s="156">
        <v>623</v>
      </c>
      <c r="I47" s="156">
        <f t="shared" si="5"/>
        <v>21493500</v>
      </c>
    </row>
    <row r="48" spans="1:9" ht="16.5" x14ac:dyDescent="0.3">
      <c r="A48" s="71" t="s">
        <v>72</v>
      </c>
      <c r="B48" s="95">
        <v>7994</v>
      </c>
      <c r="C48" s="95">
        <v>623</v>
      </c>
      <c r="D48" s="95">
        <f t="shared" si="6"/>
        <v>4980262</v>
      </c>
      <c r="F48" s="71" t="s">
        <v>75</v>
      </c>
      <c r="G48" s="95">
        <v>45022</v>
      </c>
      <c r="H48" s="95">
        <v>623</v>
      </c>
      <c r="I48" s="95">
        <f t="shared" si="5"/>
        <v>28048706</v>
      </c>
    </row>
    <row r="49" spans="1:9" ht="16.5" x14ac:dyDescent="0.3">
      <c r="A49" s="70" t="s">
        <v>69</v>
      </c>
      <c r="B49" s="94">
        <v>9308</v>
      </c>
      <c r="C49" s="95">
        <v>623</v>
      </c>
      <c r="D49" s="95">
        <f t="shared" si="6"/>
        <v>5798884</v>
      </c>
      <c r="F49" s="71" t="s">
        <v>76</v>
      </c>
      <c r="G49" s="95">
        <v>14266</v>
      </c>
      <c r="H49" s="95">
        <v>623</v>
      </c>
      <c r="I49" s="95">
        <f t="shared" si="5"/>
        <v>8887718</v>
      </c>
    </row>
    <row r="50" spans="1:9" ht="16.5" x14ac:dyDescent="0.3">
      <c r="A50" s="71">
        <v>495</v>
      </c>
      <c r="B50" s="95">
        <v>35816</v>
      </c>
      <c r="C50" s="95">
        <v>623</v>
      </c>
      <c r="D50" s="95">
        <f t="shared" si="6"/>
        <v>22313368</v>
      </c>
      <c r="F50" s="73" t="s">
        <v>28</v>
      </c>
      <c r="G50" s="97">
        <f>SUM(G46:G49)</f>
        <v>126669</v>
      </c>
      <c r="H50" s="97"/>
      <c r="I50" s="97">
        <f>SUM(I46:I49)</f>
        <v>78914787</v>
      </c>
    </row>
    <row r="51" spans="1:9" ht="16.5" x14ac:dyDescent="0.3">
      <c r="A51" s="72">
        <v>496</v>
      </c>
      <c r="B51" s="96">
        <v>20842</v>
      </c>
      <c r="C51" s="95">
        <v>623</v>
      </c>
      <c r="D51" s="95">
        <f t="shared" si="6"/>
        <v>12984566</v>
      </c>
    </row>
    <row r="52" spans="1:9" ht="16.5" x14ac:dyDescent="0.3">
      <c r="A52" s="71">
        <v>497</v>
      </c>
      <c r="B52" s="95">
        <v>22360</v>
      </c>
      <c r="C52" s="95">
        <v>623</v>
      </c>
      <c r="D52" s="95">
        <f t="shared" si="6"/>
        <v>13930280</v>
      </c>
    </row>
    <row r="53" spans="1:9" ht="16.5" x14ac:dyDescent="0.3">
      <c r="A53" s="71">
        <v>498</v>
      </c>
      <c r="B53" s="95">
        <v>17807</v>
      </c>
      <c r="C53" s="95">
        <v>623</v>
      </c>
      <c r="D53" s="95">
        <f t="shared" si="6"/>
        <v>11093761</v>
      </c>
    </row>
    <row r="54" spans="1:9" ht="16.5" x14ac:dyDescent="0.3">
      <c r="A54" s="71">
        <v>499</v>
      </c>
      <c r="B54" s="95">
        <v>44515</v>
      </c>
      <c r="C54" s="95">
        <v>623</v>
      </c>
      <c r="D54" s="95">
        <f t="shared" si="6"/>
        <v>27732845</v>
      </c>
    </row>
    <row r="55" spans="1:9" ht="16.5" x14ac:dyDescent="0.3">
      <c r="A55" s="71" t="s">
        <v>403</v>
      </c>
      <c r="B55" s="95">
        <v>35917</v>
      </c>
      <c r="C55" s="95">
        <v>623</v>
      </c>
      <c r="D55" s="95">
        <f t="shared" si="6"/>
        <v>22376291</v>
      </c>
    </row>
    <row r="56" spans="1:9" ht="16.5" x14ac:dyDescent="0.3">
      <c r="A56" s="71" t="s">
        <v>73</v>
      </c>
      <c r="B56" s="95">
        <v>22967</v>
      </c>
      <c r="C56" s="95">
        <v>623</v>
      </c>
      <c r="D56" s="95">
        <f t="shared" si="6"/>
        <v>14308441</v>
      </c>
    </row>
    <row r="57" spans="1:9" ht="16.5" x14ac:dyDescent="0.3">
      <c r="A57" s="71" t="s">
        <v>74</v>
      </c>
      <c r="B57" s="95">
        <v>14367</v>
      </c>
      <c r="C57" s="95">
        <v>623</v>
      </c>
      <c r="D57" s="95">
        <f t="shared" si="6"/>
        <v>8950641</v>
      </c>
    </row>
    <row r="58" spans="1:9" ht="16.5" x14ac:dyDescent="0.3">
      <c r="A58" s="71" t="s">
        <v>442</v>
      </c>
      <c r="B58" s="95">
        <f>3.2375*10000</f>
        <v>32375</v>
      </c>
      <c r="C58" s="95">
        <v>623</v>
      </c>
      <c r="D58" s="95">
        <f t="shared" si="6"/>
        <v>20169625</v>
      </c>
    </row>
    <row r="59" spans="1:9" ht="16.5" x14ac:dyDescent="0.3">
      <c r="A59" s="71" t="s">
        <v>443</v>
      </c>
      <c r="B59" s="95">
        <f>1.2748*10000</f>
        <v>12748</v>
      </c>
      <c r="C59" s="95">
        <v>623</v>
      </c>
      <c r="D59" s="95">
        <f t="shared" si="6"/>
        <v>7942004</v>
      </c>
    </row>
    <row r="60" spans="1:9" ht="16.5" x14ac:dyDescent="0.3">
      <c r="A60" s="71">
        <v>472</v>
      </c>
      <c r="B60" s="95">
        <f>2.8328*10000</f>
        <v>28328.000000000004</v>
      </c>
      <c r="C60" s="95">
        <v>623</v>
      </c>
      <c r="D60" s="95">
        <f t="shared" si="6"/>
        <v>17648344.000000004</v>
      </c>
    </row>
    <row r="61" spans="1:9" ht="16.5" x14ac:dyDescent="0.3">
      <c r="A61" s="73" t="s">
        <v>28</v>
      </c>
      <c r="B61" s="97">
        <f>SUM(B46:B60)</f>
        <v>322543</v>
      </c>
      <c r="C61" s="97"/>
      <c r="D61" s="97">
        <f>SUM(D46:D60)</f>
        <v>200944289</v>
      </c>
    </row>
    <row r="62" spans="1:9" x14ac:dyDescent="0.25">
      <c r="D62" s="153">
        <f>D61+I50</f>
        <v>279859076</v>
      </c>
    </row>
  </sheetData>
  <mergeCells count="22">
    <mergeCell ref="Q14:Q15"/>
    <mergeCell ref="N16:N17"/>
    <mergeCell ref="O16:O17"/>
    <mergeCell ref="Q16:Q17"/>
    <mergeCell ref="R1:S1"/>
    <mergeCell ref="N5:N12"/>
    <mergeCell ref="O5:O12"/>
    <mergeCell ref="Q6:Q10"/>
    <mergeCell ref="Q11:Q12"/>
    <mergeCell ref="A24:D24"/>
    <mergeCell ref="F24:I24"/>
    <mergeCell ref="L22:P22"/>
    <mergeCell ref="B1:C1"/>
    <mergeCell ref="A44:D44"/>
    <mergeCell ref="F44:I44"/>
    <mergeCell ref="N14:N15"/>
    <mergeCell ref="O14:O15"/>
    <mergeCell ref="P3:P21"/>
    <mergeCell ref="A1:A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5:P15"/>
  <sheetViews>
    <sheetView workbookViewId="0">
      <selection activeCell="B2" sqref="B2"/>
    </sheetView>
  </sheetViews>
  <sheetFormatPr defaultRowHeight="15" x14ac:dyDescent="0.25"/>
  <sheetData>
    <row r="15" spans="14:16" x14ac:dyDescent="0.25">
      <c r="N15" s="50"/>
      <c r="O15" s="50"/>
      <c r="P15" s="5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2F2C-4FFD-40EC-817F-C6D13C0D9991}">
  <dimension ref="B2:K207"/>
  <sheetViews>
    <sheetView workbookViewId="0">
      <selection activeCell="N11" sqref="N11"/>
    </sheetView>
  </sheetViews>
  <sheetFormatPr defaultRowHeight="16.5" x14ac:dyDescent="0.25"/>
  <cols>
    <col min="1" max="1" width="9.140625" style="80"/>
    <col min="2" max="2" width="28.140625" style="80" customWidth="1"/>
    <col min="3" max="3" width="31.7109375" style="80" customWidth="1"/>
    <col min="4" max="4" width="16.140625" style="91" bestFit="1" customWidth="1"/>
    <col min="5" max="5" width="17.85546875" style="80" bestFit="1" customWidth="1"/>
    <col min="6" max="6" width="14.5703125" style="80" bestFit="1" customWidth="1"/>
    <col min="7" max="7" width="15.28515625" style="80" bestFit="1" customWidth="1"/>
    <col min="8" max="8" width="15.140625" style="80" customWidth="1"/>
    <col min="9" max="9" width="15.5703125" style="80" customWidth="1"/>
    <col min="10" max="257" width="9.140625" style="80"/>
    <col min="258" max="258" width="16.85546875" style="80" customWidth="1"/>
    <col min="259" max="259" width="17.42578125" style="80" customWidth="1"/>
    <col min="260" max="260" width="16.85546875" style="80" customWidth="1"/>
    <col min="261" max="261" width="17.85546875" style="80" bestFit="1" customWidth="1"/>
    <col min="262" max="262" width="14.5703125" style="80" bestFit="1" customWidth="1"/>
    <col min="263" max="263" width="15.28515625" style="80" bestFit="1" customWidth="1"/>
    <col min="264" max="264" width="15.140625" style="80" customWidth="1"/>
    <col min="265" max="265" width="15.5703125" style="80" customWidth="1"/>
    <col min="266" max="513" width="9.140625" style="80"/>
    <col min="514" max="514" width="16.85546875" style="80" customWidth="1"/>
    <col min="515" max="515" width="17.42578125" style="80" customWidth="1"/>
    <col min="516" max="516" width="16.85546875" style="80" customWidth="1"/>
    <col min="517" max="517" width="17.85546875" style="80" bestFit="1" customWidth="1"/>
    <col min="518" max="518" width="14.5703125" style="80" bestFit="1" customWidth="1"/>
    <col min="519" max="519" width="15.28515625" style="80" bestFit="1" customWidth="1"/>
    <col min="520" max="520" width="15.140625" style="80" customWidth="1"/>
    <col min="521" max="521" width="15.5703125" style="80" customWidth="1"/>
    <col min="522" max="769" width="9.140625" style="80"/>
    <col min="770" max="770" width="16.85546875" style="80" customWidth="1"/>
    <col min="771" max="771" width="17.42578125" style="80" customWidth="1"/>
    <col min="772" max="772" width="16.85546875" style="80" customWidth="1"/>
    <col min="773" max="773" width="17.85546875" style="80" bestFit="1" customWidth="1"/>
    <col min="774" max="774" width="14.5703125" style="80" bestFit="1" customWidth="1"/>
    <col min="775" max="775" width="15.28515625" style="80" bestFit="1" customWidth="1"/>
    <col min="776" max="776" width="15.140625" style="80" customWidth="1"/>
    <col min="777" max="777" width="15.5703125" style="80" customWidth="1"/>
    <col min="778" max="1025" width="9.140625" style="80"/>
    <col min="1026" max="1026" width="16.85546875" style="80" customWidth="1"/>
    <col min="1027" max="1027" width="17.42578125" style="80" customWidth="1"/>
    <col min="1028" max="1028" width="16.85546875" style="80" customWidth="1"/>
    <col min="1029" max="1029" width="17.85546875" style="80" bestFit="1" customWidth="1"/>
    <col min="1030" max="1030" width="14.5703125" style="80" bestFit="1" customWidth="1"/>
    <col min="1031" max="1031" width="15.28515625" style="80" bestFit="1" customWidth="1"/>
    <col min="1032" max="1032" width="15.140625" style="80" customWidth="1"/>
    <col min="1033" max="1033" width="15.5703125" style="80" customWidth="1"/>
    <col min="1034" max="1281" width="9.140625" style="80"/>
    <col min="1282" max="1282" width="16.85546875" style="80" customWidth="1"/>
    <col min="1283" max="1283" width="17.42578125" style="80" customWidth="1"/>
    <col min="1284" max="1284" width="16.85546875" style="80" customWidth="1"/>
    <col min="1285" max="1285" width="17.85546875" style="80" bestFit="1" customWidth="1"/>
    <col min="1286" max="1286" width="14.5703125" style="80" bestFit="1" customWidth="1"/>
    <col min="1287" max="1287" width="15.28515625" style="80" bestFit="1" customWidth="1"/>
    <col min="1288" max="1288" width="15.140625" style="80" customWidth="1"/>
    <col min="1289" max="1289" width="15.5703125" style="80" customWidth="1"/>
    <col min="1290" max="1537" width="9.140625" style="80"/>
    <col min="1538" max="1538" width="16.85546875" style="80" customWidth="1"/>
    <col min="1539" max="1539" width="17.42578125" style="80" customWidth="1"/>
    <col min="1540" max="1540" width="16.85546875" style="80" customWidth="1"/>
    <col min="1541" max="1541" width="17.85546875" style="80" bestFit="1" customWidth="1"/>
    <col min="1542" max="1542" width="14.5703125" style="80" bestFit="1" customWidth="1"/>
    <col min="1543" max="1543" width="15.28515625" style="80" bestFit="1" customWidth="1"/>
    <col min="1544" max="1544" width="15.140625" style="80" customWidth="1"/>
    <col min="1545" max="1545" width="15.5703125" style="80" customWidth="1"/>
    <col min="1546" max="1793" width="9.140625" style="80"/>
    <col min="1794" max="1794" width="16.85546875" style="80" customWidth="1"/>
    <col min="1795" max="1795" width="17.42578125" style="80" customWidth="1"/>
    <col min="1796" max="1796" width="16.85546875" style="80" customWidth="1"/>
    <col min="1797" max="1797" width="17.85546875" style="80" bestFit="1" customWidth="1"/>
    <col min="1798" max="1798" width="14.5703125" style="80" bestFit="1" customWidth="1"/>
    <col min="1799" max="1799" width="15.28515625" style="80" bestFit="1" customWidth="1"/>
    <col min="1800" max="1800" width="15.140625" style="80" customWidth="1"/>
    <col min="1801" max="1801" width="15.5703125" style="80" customWidth="1"/>
    <col min="1802" max="2049" width="9.140625" style="80"/>
    <col min="2050" max="2050" width="16.85546875" style="80" customWidth="1"/>
    <col min="2051" max="2051" width="17.42578125" style="80" customWidth="1"/>
    <col min="2052" max="2052" width="16.85546875" style="80" customWidth="1"/>
    <col min="2053" max="2053" width="17.85546875" style="80" bestFit="1" customWidth="1"/>
    <col min="2054" max="2054" width="14.5703125" style="80" bestFit="1" customWidth="1"/>
    <col min="2055" max="2055" width="15.28515625" style="80" bestFit="1" customWidth="1"/>
    <col min="2056" max="2056" width="15.140625" style="80" customWidth="1"/>
    <col min="2057" max="2057" width="15.5703125" style="80" customWidth="1"/>
    <col min="2058" max="2305" width="9.140625" style="80"/>
    <col min="2306" max="2306" width="16.85546875" style="80" customWidth="1"/>
    <col min="2307" max="2307" width="17.42578125" style="80" customWidth="1"/>
    <col min="2308" max="2308" width="16.85546875" style="80" customWidth="1"/>
    <col min="2309" max="2309" width="17.85546875" style="80" bestFit="1" customWidth="1"/>
    <col min="2310" max="2310" width="14.5703125" style="80" bestFit="1" customWidth="1"/>
    <col min="2311" max="2311" width="15.28515625" style="80" bestFit="1" customWidth="1"/>
    <col min="2312" max="2312" width="15.140625" style="80" customWidth="1"/>
    <col min="2313" max="2313" width="15.5703125" style="80" customWidth="1"/>
    <col min="2314" max="2561" width="9.140625" style="80"/>
    <col min="2562" max="2562" width="16.85546875" style="80" customWidth="1"/>
    <col min="2563" max="2563" width="17.42578125" style="80" customWidth="1"/>
    <col min="2564" max="2564" width="16.85546875" style="80" customWidth="1"/>
    <col min="2565" max="2565" width="17.85546875" style="80" bestFit="1" customWidth="1"/>
    <col min="2566" max="2566" width="14.5703125" style="80" bestFit="1" customWidth="1"/>
    <col min="2567" max="2567" width="15.28515625" style="80" bestFit="1" customWidth="1"/>
    <col min="2568" max="2568" width="15.140625" style="80" customWidth="1"/>
    <col min="2569" max="2569" width="15.5703125" style="80" customWidth="1"/>
    <col min="2570" max="2817" width="9.140625" style="80"/>
    <col min="2818" max="2818" width="16.85546875" style="80" customWidth="1"/>
    <col min="2819" max="2819" width="17.42578125" style="80" customWidth="1"/>
    <col min="2820" max="2820" width="16.85546875" style="80" customWidth="1"/>
    <col min="2821" max="2821" width="17.85546875" style="80" bestFit="1" customWidth="1"/>
    <col min="2822" max="2822" width="14.5703125" style="80" bestFit="1" customWidth="1"/>
    <col min="2823" max="2823" width="15.28515625" style="80" bestFit="1" customWidth="1"/>
    <col min="2824" max="2824" width="15.140625" style="80" customWidth="1"/>
    <col min="2825" max="2825" width="15.5703125" style="80" customWidth="1"/>
    <col min="2826" max="3073" width="9.140625" style="80"/>
    <col min="3074" max="3074" width="16.85546875" style="80" customWidth="1"/>
    <col min="3075" max="3075" width="17.42578125" style="80" customWidth="1"/>
    <col min="3076" max="3076" width="16.85546875" style="80" customWidth="1"/>
    <col min="3077" max="3077" width="17.85546875" style="80" bestFit="1" customWidth="1"/>
    <col min="3078" max="3078" width="14.5703125" style="80" bestFit="1" customWidth="1"/>
    <col min="3079" max="3079" width="15.28515625" style="80" bestFit="1" customWidth="1"/>
    <col min="3080" max="3080" width="15.140625" style="80" customWidth="1"/>
    <col min="3081" max="3081" width="15.5703125" style="80" customWidth="1"/>
    <col min="3082" max="3329" width="9.140625" style="80"/>
    <col min="3330" max="3330" width="16.85546875" style="80" customWidth="1"/>
    <col min="3331" max="3331" width="17.42578125" style="80" customWidth="1"/>
    <col min="3332" max="3332" width="16.85546875" style="80" customWidth="1"/>
    <col min="3333" max="3333" width="17.85546875" style="80" bestFit="1" customWidth="1"/>
    <col min="3334" max="3334" width="14.5703125" style="80" bestFit="1" customWidth="1"/>
    <col min="3335" max="3335" width="15.28515625" style="80" bestFit="1" customWidth="1"/>
    <col min="3336" max="3336" width="15.140625" style="80" customWidth="1"/>
    <col min="3337" max="3337" width="15.5703125" style="80" customWidth="1"/>
    <col min="3338" max="3585" width="9.140625" style="80"/>
    <col min="3586" max="3586" width="16.85546875" style="80" customWidth="1"/>
    <col min="3587" max="3587" width="17.42578125" style="80" customWidth="1"/>
    <col min="3588" max="3588" width="16.85546875" style="80" customWidth="1"/>
    <col min="3589" max="3589" width="17.85546875" style="80" bestFit="1" customWidth="1"/>
    <col min="3590" max="3590" width="14.5703125" style="80" bestFit="1" customWidth="1"/>
    <col min="3591" max="3591" width="15.28515625" style="80" bestFit="1" customWidth="1"/>
    <col min="3592" max="3592" width="15.140625" style="80" customWidth="1"/>
    <col min="3593" max="3593" width="15.5703125" style="80" customWidth="1"/>
    <col min="3594" max="3841" width="9.140625" style="80"/>
    <col min="3842" max="3842" width="16.85546875" style="80" customWidth="1"/>
    <col min="3843" max="3843" width="17.42578125" style="80" customWidth="1"/>
    <col min="3844" max="3844" width="16.85546875" style="80" customWidth="1"/>
    <col min="3845" max="3845" width="17.85546875" style="80" bestFit="1" customWidth="1"/>
    <col min="3846" max="3846" width="14.5703125" style="80" bestFit="1" customWidth="1"/>
    <col min="3847" max="3847" width="15.28515625" style="80" bestFit="1" customWidth="1"/>
    <col min="3848" max="3848" width="15.140625" style="80" customWidth="1"/>
    <col min="3849" max="3849" width="15.5703125" style="80" customWidth="1"/>
    <col min="3850" max="4097" width="9.140625" style="80"/>
    <col min="4098" max="4098" width="16.85546875" style="80" customWidth="1"/>
    <col min="4099" max="4099" width="17.42578125" style="80" customWidth="1"/>
    <col min="4100" max="4100" width="16.85546875" style="80" customWidth="1"/>
    <col min="4101" max="4101" width="17.85546875" style="80" bestFit="1" customWidth="1"/>
    <col min="4102" max="4102" width="14.5703125" style="80" bestFit="1" customWidth="1"/>
    <col min="4103" max="4103" width="15.28515625" style="80" bestFit="1" customWidth="1"/>
    <col min="4104" max="4104" width="15.140625" style="80" customWidth="1"/>
    <col min="4105" max="4105" width="15.5703125" style="80" customWidth="1"/>
    <col min="4106" max="4353" width="9.140625" style="80"/>
    <col min="4354" max="4354" width="16.85546875" style="80" customWidth="1"/>
    <col min="4355" max="4355" width="17.42578125" style="80" customWidth="1"/>
    <col min="4356" max="4356" width="16.85546875" style="80" customWidth="1"/>
    <col min="4357" max="4357" width="17.85546875" style="80" bestFit="1" customWidth="1"/>
    <col min="4358" max="4358" width="14.5703125" style="80" bestFit="1" customWidth="1"/>
    <col min="4359" max="4359" width="15.28515625" style="80" bestFit="1" customWidth="1"/>
    <col min="4360" max="4360" width="15.140625" style="80" customWidth="1"/>
    <col min="4361" max="4361" width="15.5703125" style="80" customWidth="1"/>
    <col min="4362" max="4609" width="9.140625" style="80"/>
    <col min="4610" max="4610" width="16.85546875" style="80" customWidth="1"/>
    <col min="4611" max="4611" width="17.42578125" style="80" customWidth="1"/>
    <col min="4612" max="4612" width="16.85546875" style="80" customWidth="1"/>
    <col min="4613" max="4613" width="17.85546875" style="80" bestFit="1" customWidth="1"/>
    <col min="4614" max="4614" width="14.5703125" style="80" bestFit="1" customWidth="1"/>
    <col min="4615" max="4615" width="15.28515625" style="80" bestFit="1" customWidth="1"/>
    <col min="4616" max="4616" width="15.140625" style="80" customWidth="1"/>
    <col min="4617" max="4617" width="15.5703125" style="80" customWidth="1"/>
    <col min="4618" max="4865" width="9.140625" style="80"/>
    <col min="4866" max="4866" width="16.85546875" style="80" customWidth="1"/>
    <col min="4867" max="4867" width="17.42578125" style="80" customWidth="1"/>
    <col min="4868" max="4868" width="16.85546875" style="80" customWidth="1"/>
    <col min="4869" max="4869" width="17.85546875" style="80" bestFit="1" customWidth="1"/>
    <col min="4870" max="4870" width="14.5703125" style="80" bestFit="1" customWidth="1"/>
    <col min="4871" max="4871" width="15.28515625" style="80" bestFit="1" customWidth="1"/>
    <col min="4872" max="4872" width="15.140625" style="80" customWidth="1"/>
    <col min="4873" max="4873" width="15.5703125" style="80" customWidth="1"/>
    <col min="4874" max="5121" width="9.140625" style="80"/>
    <col min="5122" max="5122" width="16.85546875" style="80" customWidth="1"/>
    <col min="5123" max="5123" width="17.42578125" style="80" customWidth="1"/>
    <col min="5124" max="5124" width="16.85546875" style="80" customWidth="1"/>
    <col min="5125" max="5125" width="17.85546875" style="80" bestFit="1" customWidth="1"/>
    <col min="5126" max="5126" width="14.5703125" style="80" bestFit="1" customWidth="1"/>
    <col min="5127" max="5127" width="15.28515625" style="80" bestFit="1" customWidth="1"/>
    <col min="5128" max="5128" width="15.140625" style="80" customWidth="1"/>
    <col min="5129" max="5129" width="15.5703125" style="80" customWidth="1"/>
    <col min="5130" max="5377" width="9.140625" style="80"/>
    <col min="5378" max="5378" width="16.85546875" style="80" customWidth="1"/>
    <col min="5379" max="5379" width="17.42578125" style="80" customWidth="1"/>
    <col min="5380" max="5380" width="16.85546875" style="80" customWidth="1"/>
    <col min="5381" max="5381" width="17.85546875" style="80" bestFit="1" customWidth="1"/>
    <col min="5382" max="5382" width="14.5703125" style="80" bestFit="1" customWidth="1"/>
    <col min="5383" max="5383" width="15.28515625" style="80" bestFit="1" customWidth="1"/>
    <col min="5384" max="5384" width="15.140625" style="80" customWidth="1"/>
    <col min="5385" max="5385" width="15.5703125" style="80" customWidth="1"/>
    <col min="5386" max="5633" width="9.140625" style="80"/>
    <col min="5634" max="5634" width="16.85546875" style="80" customWidth="1"/>
    <col min="5635" max="5635" width="17.42578125" style="80" customWidth="1"/>
    <col min="5636" max="5636" width="16.85546875" style="80" customWidth="1"/>
    <col min="5637" max="5637" width="17.85546875" style="80" bestFit="1" customWidth="1"/>
    <col min="5638" max="5638" width="14.5703125" style="80" bestFit="1" customWidth="1"/>
    <col min="5639" max="5639" width="15.28515625" style="80" bestFit="1" customWidth="1"/>
    <col min="5640" max="5640" width="15.140625" style="80" customWidth="1"/>
    <col min="5641" max="5641" width="15.5703125" style="80" customWidth="1"/>
    <col min="5642" max="5889" width="9.140625" style="80"/>
    <col min="5890" max="5890" width="16.85546875" style="80" customWidth="1"/>
    <col min="5891" max="5891" width="17.42578125" style="80" customWidth="1"/>
    <col min="5892" max="5892" width="16.85546875" style="80" customWidth="1"/>
    <col min="5893" max="5893" width="17.85546875" style="80" bestFit="1" customWidth="1"/>
    <col min="5894" max="5894" width="14.5703125" style="80" bestFit="1" customWidth="1"/>
    <col min="5895" max="5895" width="15.28515625" style="80" bestFit="1" customWidth="1"/>
    <col min="5896" max="5896" width="15.140625" style="80" customWidth="1"/>
    <col min="5897" max="5897" width="15.5703125" style="80" customWidth="1"/>
    <col min="5898" max="6145" width="9.140625" style="80"/>
    <col min="6146" max="6146" width="16.85546875" style="80" customWidth="1"/>
    <col min="6147" max="6147" width="17.42578125" style="80" customWidth="1"/>
    <col min="6148" max="6148" width="16.85546875" style="80" customWidth="1"/>
    <col min="6149" max="6149" width="17.85546875" style="80" bestFit="1" customWidth="1"/>
    <col min="6150" max="6150" width="14.5703125" style="80" bestFit="1" customWidth="1"/>
    <col min="6151" max="6151" width="15.28515625" style="80" bestFit="1" customWidth="1"/>
    <col min="6152" max="6152" width="15.140625" style="80" customWidth="1"/>
    <col min="6153" max="6153" width="15.5703125" style="80" customWidth="1"/>
    <col min="6154" max="6401" width="9.140625" style="80"/>
    <col min="6402" max="6402" width="16.85546875" style="80" customWidth="1"/>
    <col min="6403" max="6403" width="17.42578125" style="80" customWidth="1"/>
    <col min="6404" max="6404" width="16.85546875" style="80" customWidth="1"/>
    <col min="6405" max="6405" width="17.85546875" style="80" bestFit="1" customWidth="1"/>
    <col min="6406" max="6406" width="14.5703125" style="80" bestFit="1" customWidth="1"/>
    <col min="6407" max="6407" width="15.28515625" style="80" bestFit="1" customWidth="1"/>
    <col min="6408" max="6408" width="15.140625" style="80" customWidth="1"/>
    <col min="6409" max="6409" width="15.5703125" style="80" customWidth="1"/>
    <col min="6410" max="6657" width="9.140625" style="80"/>
    <col min="6658" max="6658" width="16.85546875" style="80" customWidth="1"/>
    <col min="6659" max="6659" width="17.42578125" style="80" customWidth="1"/>
    <col min="6660" max="6660" width="16.85546875" style="80" customWidth="1"/>
    <col min="6661" max="6661" width="17.85546875" style="80" bestFit="1" customWidth="1"/>
    <col min="6662" max="6662" width="14.5703125" style="80" bestFit="1" customWidth="1"/>
    <col min="6663" max="6663" width="15.28515625" style="80" bestFit="1" customWidth="1"/>
    <col min="6664" max="6664" width="15.140625" style="80" customWidth="1"/>
    <col min="6665" max="6665" width="15.5703125" style="80" customWidth="1"/>
    <col min="6666" max="6913" width="9.140625" style="80"/>
    <col min="6914" max="6914" width="16.85546875" style="80" customWidth="1"/>
    <col min="6915" max="6915" width="17.42578125" style="80" customWidth="1"/>
    <col min="6916" max="6916" width="16.85546875" style="80" customWidth="1"/>
    <col min="6917" max="6917" width="17.85546875" style="80" bestFit="1" customWidth="1"/>
    <col min="6918" max="6918" width="14.5703125" style="80" bestFit="1" customWidth="1"/>
    <col min="6919" max="6919" width="15.28515625" style="80" bestFit="1" customWidth="1"/>
    <col min="6920" max="6920" width="15.140625" style="80" customWidth="1"/>
    <col min="6921" max="6921" width="15.5703125" style="80" customWidth="1"/>
    <col min="6922" max="7169" width="9.140625" style="80"/>
    <col min="7170" max="7170" width="16.85546875" style="80" customWidth="1"/>
    <col min="7171" max="7171" width="17.42578125" style="80" customWidth="1"/>
    <col min="7172" max="7172" width="16.85546875" style="80" customWidth="1"/>
    <col min="7173" max="7173" width="17.85546875" style="80" bestFit="1" customWidth="1"/>
    <col min="7174" max="7174" width="14.5703125" style="80" bestFit="1" customWidth="1"/>
    <col min="7175" max="7175" width="15.28515625" style="80" bestFit="1" customWidth="1"/>
    <col min="7176" max="7176" width="15.140625" style="80" customWidth="1"/>
    <col min="7177" max="7177" width="15.5703125" style="80" customWidth="1"/>
    <col min="7178" max="7425" width="9.140625" style="80"/>
    <col min="7426" max="7426" width="16.85546875" style="80" customWidth="1"/>
    <col min="7427" max="7427" width="17.42578125" style="80" customWidth="1"/>
    <col min="7428" max="7428" width="16.85546875" style="80" customWidth="1"/>
    <col min="7429" max="7429" width="17.85546875" style="80" bestFit="1" customWidth="1"/>
    <col min="7430" max="7430" width="14.5703125" style="80" bestFit="1" customWidth="1"/>
    <col min="7431" max="7431" width="15.28515625" style="80" bestFit="1" customWidth="1"/>
    <col min="7432" max="7432" width="15.140625" style="80" customWidth="1"/>
    <col min="7433" max="7433" width="15.5703125" style="80" customWidth="1"/>
    <col min="7434" max="7681" width="9.140625" style="80"/>
    <col min="7682" max="7682" width="16.85546875" style="80" customWidth="1"/>
    <col min="7683" max="7683" width="17.42578125" style="80" customWidth="1"/>
    <col min="7684" max="7684" width="16.85546875" style="80" customWidth="1"/>
    <col min="7685" max="7685" width="17.85546875" style="80" bestFit="1" customWidth="1"/>
    <col min="7686" max="7686" width="14.5703125" style="80" bestFit="1" customWidth="1"/>
    <col min="7687" max="7687" width="15.28515625" style="80" bestFit="1" customWidth="1"/>
    <col min="7688" max="7688" width="15.140625" style="80" customWidth="1"/>
    <col min="7689" max="7689" width="15.5703125" style="80" customWidth="1"/>
    <col min="7690" max="7937" width="9.140625" style="80"/>
    <col min="7938" max="7938" width="16.85546875" style="80" customWidth="1"/>
    <col min="7939" max="7939" width="17.42578125" style="80" customWidth="1"/>
    <col min="7940" max="7940" width="16.85546875" style="80" customWidth="1"/>
    <col min="7941" max="7941" width="17.85546875" style="80" bestFit="1" customWidth="1"/>
    <col min="7942" max="7942" width="14.5703125" style="80" bestFit="1" customWidth="1"/>
    <col min="7943" max="7943" width="15.28515625" style="80" bestFit="1" customWidth="1"/>
    <col min="7944" max="7944" width="15.140625" style="80" customWidth="1"/>
    <col min="7945" max="7945" width="15.5703125" style="80" customWidth="1"/>
    <col min="7946" max="8193" width="9.140625" style="80"/>
    <col min="8194" max="8194" width="16.85546875" style="80" customWidth="1"/>
    <col min="8195" max="8195" width="17.42578125" style="80" customWidth="1"/>
    <col min="8196" max="8196" width="16.85546875" style="80" customWidth="1"/>
    <col min="8197" max="8197" width="17.85546875" style="80" bestFit="1" customWidth="1"/>
    <col min="8198" max="8198" width="14.5703125" style="80" bestFit="1" customWidth="1"/>
    <col min="8199" max="8199" width="15.28515625" style="80" bestFit="1" customWidth="1"/>
    <col min="8200" max="8200" width="15.140625" style="80" customWidth="1"/>
    <col min="8201" max="8201" width="15.5703125" style="80" customWidth="1"/>
    <col min="8202" max="8449" width="9.140625" style="80"/>
    <col min="8450" max="8450" width="16.85546875" style="80" customWidth="1"/>
    <col min="8451" max="8451" width="17.42578125" style="80" customWidth="1"/>
    <col min="8452" max="8452" width="16.85546875" style="80" customWidth="1"/>
    <col min="8453" max="8453" width="17.85546875" style="80" bestFit="1" customWidth="1"/>
    <col min="8454" max="8454" width="14.5703125" style="80" bestFit="1" customWidth="1"/>
    <col min="8455" max="8455" width="15.28515625" style="80" bestFit="1" customWidth="1"/>
    <col min="8456" max="8456" width="15.140625" style="80" customWidth="1"/>
    <col min="8457" max="8457" width="15.5703125" style="80" customWidth="1"/>
    <col min="8458" max="8705" width="9.140625" style="80"/>
    <col min="8706" max="8706" width="16.85546875" style="80" customWidth="1"/>
    <col min="8707" max="8707" width="17.42578125" style="80" customWidth="1"/>
    <col min="8708" max="8708" width="16.85546875" style="80" customWidth="1"/>
    <col min="8709" max="8709" width="17.85546875" style="80" bestFit="1" customWidth="1"/>
    <col min="8710" max="8710" width="14.5703125" style="80" bestFit="1" customWidth="1"/>
    <col min="8711" max="8711" width="15.28515625" style="80" bestFit="1" customWidth="1"/>
    <col min="8712" max="8712" width="15.140625" style="80" customWidth="1"/>
    <col min="8713" max="8713" width="15.5703125" style="80" customWidth="1"/>
    <col min="8714" max="8961" width="9.140625" style="80"/>
    <col min="8962" max="8962" width="16.85546875" style="80" customWidth="1"/>
    <col min="8963" max="8963" width="17.42578125" style="80" customWidth="1"/>
    <col min="8964" max="8964" width="16.85546875" style="80" customWidth="1"/>
    <col min="8965" max="8965" width="17.85546875" style="80" bestFit="1" customWidth="1"/>
    <col min="8966" max="8966" width="14.5703125" style="80" bestFit="1" customWidth="1"/>
    <col min="8967" max="8967" width="15.28515625" style="80" bestFit="1" customWidth="1"/>
    <col min="8968" max="8968" width="15.140625" style="80" customWidth="1"/>
    <col min="8969" max="8969" width="15.5703125" style="80" customWidth="1"/>
    <col min="8970" max="9217" width="9.140625" style="80"/>
    <col min="9218" max="9218" width="16.85546875" style="80" customWidth="1"/>
    <col min="9219" max="9219" width="17.42578125" style="80" customWidth="1"/>
    <col min="9220" max="9220" width="16.85546875" style="80" customWidth="1"/>
    <col min="9221" max="9221" width="17.85546875" style="80" bestFit="1" customWidth="1"/>
    <col min="9222" max="9222" width="14.5703125" style="80" bestFit="1" customWidth="1"/>
    <col min="9223" max="9223" width="15.28515625" style="80" bestFit="1" customWidth="1"/>
    <col min="9224" max="9224" width="15.140625" style="80" customWidth="1"/>
    <col min="9225" max="9225" width="15.5703125" style="80" customWidth="1"/>
    <col min="9226" max="9473" width="9.140625" style="80"/>
    <col min="9474" max="9474" width="16.85546875" style="80" customWidth="1"/>
    <col min="9475" max="9475" width="17.42578125" style="80" customWidth="1"/>
    <col min="9476" max="9476" width="16.85546875" style="80" customWidth="1"/>
    <col min="9477" max="9477" width="17.85546875" style="80" bestFit="1" customWidth="1"/>
    <col min="9478" max="9478" width="14.5703125" style="80" bestFit="1" customWidth="1"/>
    <col min="9479" max="9479" width="15.28515625" style="80" bestFit="1" customWidth="1"/>
    <col min="9480" max="9480" width="15.140625" style="80" customWidth="1"/>
    <col min="9481" max="9481" width="15.5703125" style="80" customWidth="1"/>
    <col min="9482" max="9729" width="9.140625" style="80"/>
    <col min="9730" max="9730" width="16.85546875" style="80" customWidth="1"/>
    <col min="9731" max="9731" width="17.42578125" style="80" customWidth="1"/>
    <col min="9732" max="9732" width="16.85546875" style="80" customWidth="1"/>
    <col min="9733" max="9733" width="17.85546875" style="80" bestFit="1" customWidth="1"/>
    <col min="9734" max="9734" width="14.5703125" style="80" bestFit="1" customWidth="1"/>
    <col min="9735" max="9735" width="15.28515625" style="80" bestFit="1" customWidth="1"/>
    <col min="9736" max="9736" width="15.140625" style="80" customWidth="1"/>
    <col min="9737" max="9737" width="15.5703125" style="80" customWidth="1"/>
    <col min="9738" max="9985" width="9.140625" style="80"/>
    <col min="9986" max="9986" width="16.85546875" style="80" customWidth="1"/>
    <col min="9987" max="9987" width="17.42578125" style="80" customWidth="1"/>
    <col min="9988" max="9988" width="16.85546875" style="80" customWidth="1"/>
    <col min="9989" max="9989" width="17.85546875" style="80" bestFit="1" customWidth="1"/>
    <col min="9990" max="9990" width="14.5703125" style="80" bestFit="1" customWidth="1"/>
    <col min="9991" max="9991" width="15.28515625" style="80" bestFit="1" customWidth="1"/>
    <col min="9992" max="9992" width="15.140625" style="80" customWidth="1"/>
    <col min="9993" max="9993" width="15.5703125" style="80" customWidth="1"/>
    <col min="9994" max="10241" width="9.140625" style="80"/>
    <col min="10242" max="10242" width="16.85546875" style="80" customWidth="1"/>
    <col min="10243" max="10243" width="17.42578125" style="80" customWidth="1"/>
    <col min="10244" max="10244" width="16.85546875" style="80" customWidth="1"/>
    <col min="10245" max="10245" width="17.85546875" style="80" bestFit="1" customWidth="1"/>
    <col min="10246" max="10246" width="14.5703125" style="80" bestFit="1" customWidth="1"/>
    <col min="10247" max="10247" width="15.28515625" style="80" bestFit="1" customWidth="1"/>
    <col min="10248" max="10248" width="15.140625" style="80" customWidth="1"/>
    <col min="10249" max="10249" width="15.5703125" style="80" customWidth="1"/>
    <col min="10250" max="10497" width="9.140625" style="80"/>
    <col min="10498" max="10498" width="16.85546875" style="80" customWidth="1"/>
    <col min="10499" max="10499" width="17.42578125" style="80" customWidth="1"/>
    <col min="10500" max="10500" width="16.85546875" style="80" customWidth="1"/>
    <col min="10501" max="10501" width="17.85546875" style="80" bestFit="1" customWidth="1"/>
    <col min="10502" max="10502" width="14.5703125" style="80" bestFit="1" customWidth="1"/>
    <col min="10503" max="10503" width="15.28515625" style="80" bestFit="1" customWidth="1"/>
    <col min="10504" max="10504" width="15.140625" style="80" customWidth="1"/>
    <col min="10505" max="10505" width="15.5703125" style="80" customWidth="1"/>
    <col min="10506" max="10753" width="9.140625" style="80"/>
    <col min="10754" max="10754" width="16.85546875" style="80" customWidth="1"/>
    <col min="10755" max="10755" width="17.42578125" style="80" customWidth="1"/>
    <col min="10756" max="10756" width="16.85546875" style="80" customWidth="1"/>
    <col min="10757" max="10757" width="17.85546875" style="80" bestFit="1" customWidth="1"/>
    <col min="10758" max="10758" width="14.5703125" style="80" bestFit="1" customWidth="1"/>
    <col min="10759" max="10759" width="15.28515625" style="80" bestFit="1" customWidth="1"/>
    <col min="10760" max="10760" width="15.140625" style="80" customWidth="1"/>
    <col min="10761" max="10761" width="15.5703125" style="80" customWidth="1"/>
    <col min="10762" max="11009" width="9.140625" style="80"/>
    <col min="11010" max="11010" width="16.85546875" style="80" customWidth="1"/>
    <col min="11011" max="11011" width="17.42578125" style="80" customWidth="1"/>
    <col min="11012" max="11012" width="16.85546875" style="80" customWidth="1"/>
    <col min="11013" max="11013" width="17.85546875" style="80" bestFit="1" customWidth="1"/>
    <col min="11014" max="11014" width="14.5703125" style="80" bestFit="1" customWidth="1"/>
    <col min="11015" max="11015" width="15.28515625" style="80" bestFit="1" customWidth="1"/>
    <col min="11016" max="11016" width="15.140625" style="80" customWidth="1"/>
    <col min="11017" max="11017" width="15.5703125" style="80" customWidth="1"/>
    <col min="11018" max="11265" width="9.140625" style="80"/>
    <col min="11266" max="11266" width="16.85546875" style="80" customWidth="1"/>
    <col min="11267" max="11267" width="17.42578125" style="80" customWidth="1"/>
    <col min="11268" max="11268" width="16.85546875" style="80" customWidth="1"/>
    <col min="11269" max="11269" width="17.85546875" style="80" bestFit="1" customWidth="1"/>
    <col min="11270" max="11270" width="14.5703125" style="80" bestFit="1" customWidth="1"/>
    <col min="11271" max="11271" width="15.28515625" style="80" bestFit="1" customWidth="1"/>
    <col min="11272" max="11272" width="15.140625" style="80" customWidth="1"/>
    <col min="11273" max="11273" width="15.5703125" style="80" customWidth="1"/>
    <col min="11274" max="11521" width="9.140625" style="80"/>
    <col min="11522" max="11522" width="16.85546875" style="80" customWidth="1"/>
    <col min="11523" max="11523" width="17.42578125" style="80" customWidth="1"/>
    <col min="11524" max="11524" width="16.85546875" style="80" customWidth="1"/>
    <col min="11525" max="11525" width="17.85546875" style="80" bestFit="1" customWidth="1"/>
    <col min="11526" max="11526" width="14.5703125" style="80" bestFit="1" customWidth="1"/>
    <col min="11527" max="11527" width="15.28515625" style="80" bestFit="1" customWidth="1"/>
    <col min="11528" max="11528" width="15.140625" style="80" customWidth="1"/>
    <col min="11529" max="11529" width="15.5703125" style="80" customWidth="1"/>
    <col min="11530" max="11777" width="9.140625" style="80"/>
    <col min="11778" max="11778" width="16.85546875" style="80" customWidth="1"/>
    <col min="11779" max="11779" width="17.42578125" style="80" customWidth="1"/>
    <col min="11780" max="11780" width="16.85546875" style="80" customWidth="1"/>
    <col min="11781" max="11781" width="17.85546875" style="80" bestFit="1" customWidth="1"/>
    <col min="11782" max="11782" width="14.5703125" style="80" bestFit="1" customWidth="1"/>
    <col min="11783" max="11783" width="15.28515625" style="80" bestFit="1" customWidth="1"/>
    <col min="11784" max="11784" width="15.140625" style="80" customWidth="1"/>
    <col min="11785" max="11785" width="15.5703125" style="80" customWidth="1"/>
    <col min="11786" max="12033" width="9.140625" style="80"/>
    <col min="12034" max="12034" width="16.85546875" style="80" customWidth="1"/>
    <col min="12035" max="12035" width="17.42578125" style="80" customWidth="1"/>
    <col min="12036" max="12036" width="16.85546875" style="80" customWidth="1"/>
    <col min="12037" max="12037" width="17.85546875" style="80" bestFit="1" customWidth="1"/>
    <col min="12038" max="12038" width="14.5703125" style="80" bestFit="1" customWidth="1"/>
    <col min="12039" max="12039" width="15.28515625" style="80" bestFit="1" customWidth="1"/>
    <col min="12040" max="12040" width="15.140625" style="80" customWidth="1"/>
    <col min="12041" max="12041" width="15.5703125" style="80" customWidth="1"/>
    <col min="12042" max="12289" width="9.140625" style="80"/>
    <col min="12290" max="12290" width="16.85546875" style="80" customWidth="1"/>
    <col min="12291" max="12291" width="17.42578125" style="80" customWidth="1"/>
    <col min="12292" max="12292" width="16.85546875" style="80" customWidth="1"/>
    <col min="12293" max="12293" width="17.85546875" style="80" bestFit="1" customWidth="1"/>
    <col min="12294" max="12294" width="14.5703125" style="80" bestFit="1" customWidth="1"/>
    <col min="12295" max="12295" width="15.28515625" style="80" bestFit="1" customWidth="1"/>
    <col min="12296" max="12296" width="15.140625" style="80" customWidth="1"/>
    <col min="12297" max="12297" width="15.5703125" style="80" customWidth="1"/>
    <col min="12298" max="12545" width="9.140625" style="80"/>
    <col min="12546" max="12546" width="16.85546875" style="80" customWidth="1"/>
    <col min="12547" max="12547" width="17.42578125" style="80" customWidth="1"/>
    <col min="12548" max="12548" width="16.85546875" style="80" customWidth="1"/>
    <col min="12549" max="12549" width="17.85546875" style="80" bestFit="1" customWidth="1"/>
    <col min="12550" max="12550" width="14.5703125" style="80" bestFit="1" customWidth="1"/>
    <col min="12551" max="12551" width="15.28515625" style="80" bestFit="1" customWidth="1"/>
    <col min="12552" max="12552" width="15.140625" style="80" customWidth="1"/>
    <col min="12553" max="12553" width="15.5703125" style="80" customWidth="1"/>
    <col min="12554" max="12801" width="9.140625" style="80"/>
    <col min="12802" max="12802" width="16.85546875" style="80" customWidth="1"/>
    <col min="12803" max="12803" width="17.42578125" style="80" customWidth="1"/>
    <col min="12804" max="12804" width="16.85546875" style="80" customWidth="1"/>
    <col min="12805" max="12805" width="17.85546875" style="80" bestFit="1" customWidth="1"/>
    <col min="12806" max="12806" width="14.5703125" style="80" bestFit="1" customWidth="1"/>
    <col min="12807" max="12807" width="15.28515625" style="80" bestFit="1" customWidth="1"/>
    <col min="12808" max="12808" width="15.140625" style="80" customWidth="1"/>
    <col min="12809" max="12809" width="15.5703125" style="80" customWidth="1"/>
    <col min="12810" max="13057" width="9.140625" style="80"/>
    <col min="13058" max="13058" width="16.85546875" style="80" customWidth="1"/>
    <col min="13059" max="13059" width="17.42578125" style="80" customWidth="1"/>
    <col min="13060" max="13060" width="16.85546875" style="80" customWidth="1"/>
    <col min="13061" max="13061" width="17.85546875" style="80" bestFit="1" customWidth="1"/>
    <col min="13062" max="13062" width="14.5703125" style="80" bestFit="1" customWidth="1"/>
    <col min="13063" max="13063" width="15.28515625" style="80" bestFit="1" customWidth="1"/>
    <col min="13064" max="13064" width="15.140625" style="80" customWidth="1"/>
    <col min="13065" max="13065" width="15.5703125" style="80" customWidth="1"/>
    <col min="13066" max="13313" width="9.140625" style="80"/>
    <col min="13314" max="13314" width="16.85546875" style="80" customWidth="1"/>
    <col min="13315" max="13315" width="17.42578125" style="80" customWidth="1"/>
    <col min="13316" max="13316" width="16.85546875" style="80" customWidth="1"/>
    <col min="13317" max="13317" width="17.85546875" style="80" bestFit="1" customWidth="1"/>
    <col min="13318" max="13318" width="14.5703125" style="80" bestFit="1" customWidth="1"/>
    <col min="13319" max="13319" width="15.28515625" style="80" bestFit="1" customWidth="1"/>
    <col min="13320" max="13320" width="15.140625" style="80" customWidth="1"/>
    <col min="13321" max="13321" width="15.5703125" style="80" customWidth="1"/>
    <col min="13322" max="13569" width="9.140625" style="80"/>
    <col min="13570" max="13570" width="16.85546875" style="80" customWidth="1"/>
    <col min="13571" max="13571" width="17.42578125" style="80" customWidth="1"/>
    <col min="13572" max="13572" width="16.85546875" style="80" customWidth="1"/>
    <col min="13573" max="13573" width="17.85546875" style="80" bestFit="1" customWidth="1"/>
    <col min="13574" max="13574" width="14.5703125" style="80" bestFit="1" customWidth="1"/>
    <col min="13575" max="13575" width="15.28515625" style="80" bestFit="1" customWidth="1"/>
    <col min="13576" max="13576" width="15.140625" style="80" customWidth="1"/>
    <col min="13577" max="13577" width="15.5703125" style="80" customWidth="1"/>
    <col min="13578" max="13825" width="9.140625" style="80"/>
    <col min="13826" max="13826" width="16.85546875" style="80" customWidth="1"/>
    <col min="13827" max="13827" width="17.42578125" style="80" customWidth="1"/>
    <col min="13828" max="13828" width="16.85546875" style="80" customWidth="1"/>
    <col min="13829" max="13829" width="17.85546875" style="80" bestFit="1" customWidth="1"/>
    <col min="13830" max="13830" width="14.5703125" style="80" bestFit="1" customWidth="1"/>
    <col min="13831" max="13831" width="15.28515625" style="80" bestFit="1" customWidth="1"/>
    <col min="13832" max="13832" width="15.140625" style="80" customWidth="1"/>
    <col min="13833" max="13833" width="15.5703125" style="80" customWidth="1"/>
    <col min="13834" max="14081" width="9.140625" style="80"/>
    <col min="14082" max="14082" width="16.85546875" style="80" customWidth="1"/>
    <col min="14083" max="14083" width="17.42578125" style="80" customWidth="1"/>
    <col min="14084" max="14084" width="16.85546875" style="80" customWidth="1"/>
    <col min="14085" max="14085" width="17.85546875" style="80" bestFit="1" customWidth="1"/>
    <col min="14086" max="14086" width="14.5703125" style="80" bestFit="1" customWidth="1"/>
    <col min="14087" max="14087" width="15.28515625" style="80" bestFit="1" customWidth="1"/>
    <col min="14088" max="14088" width="15.140625" style="80" customWidth="1"/>
    <col min="14089" max="14089" width="15.5703125" style="80" customWidth="1"/>
    <col min="14090" max="14337" width="9.140625" style="80"/>
    <col min="14338" max="14338" width="16.85546875" style="80" customWidth="1"/>
    <col min="14339" max="14339" width="17.42578125" style="80" customWidth="1"/>
    <col min="14340" max="14340" width="16.85546875" style="80" customWidth="1"/>
    <col min="14341" max="14341" width="17.85546875" style="80" bestFit="1" customWidth="1"/>
    <col min="14342" max="14342" width="14.5703125" style="80" bestFit="1" customWidth="1"/>
    <col min="14343" max="14343" width="15.28515625" style="80" bestFit="1" customWidth="1"/>
    <col min="14344" max="14344" width="15.140625" style="80" customWidth="1"/>
    <col min="14345" max="14345" width="15.5703125" style="80" customWidth="1"/>
    <col min="14346" max="14593" width="9.140625" style="80"/>
    <col min="14594" max="14594" width="16.85546875" style="80" customWidth="1"/>
    <col min="14595" max="14595" width="17.42578125" style="80" customWidth="1"/>
    <col min="14596" max="14596" width="16.85546875" style="80" customWidth="1"/>
    <col min="14597" max="14597" width="17.85546875" style="80" bestFit="1" customWidth="1"/>
    <col min="14598" max="14598" width="14.5703125" style="80" bestFit="1" customWidth="1"/>
    <col min="14599" max="14599" width="15.28515625" style="80" bestFit="1" customWidth="1"/>
    <col min="14600" max="14600" width="15.140625" style="80" customWidth="1"/>
    <col min="14601" max="14601" width="15.5703125" style="80" customWidth="1"/>
    <col min="14602" max="14849" width="9.140625" style="80"/>
    <col min="14850" max="14850" width="16.85546875" style="80" customWidth="1"/>
    <col min="14851" max="14851" width="17.42578125" style="80" customWidth="1"/>
    <col min="14852" max="14852" width="16.85546875" style="80" customWidth="1"/>
    <col min="14853" max="14853" width="17.85546875" style="80" bestFit="1" customWidth="1"/>
    <col min="14854" max="14854" width="14.5703125" style="80" bestFit="1" customWidth="1"/>
    <col min="14855" max="14855" width="15.28515625" style="80" bestFit="1" customWidth="1"/>
    <col min="14856" max="14856" width="15.140625" style="80" customWidth="1"/>
    <col min="14857" max="14857" width="15.5703125" style="80" customWidth="1"/>
    <col min="14858" max="15105" width="9.140625" style="80"/>
    <col min="15106" max="15106" width="16.85546875" style="80" customWidth="1"/>
    <col min="15107" max="15107" width="17.42578125" style="80" customWidth="1"/>
    <col min="15108" max="15108" width="16.85546875" style="80" customWidth="1"/>
    <col min="15109" max="15109" width="17.85546875" style="80" bestFit="1" customWidth="1"/>
    <col min="15110" max="15110" width="14.5703125" style="80" bestFit="1" customWidth="1"/>
    <col min="15111" max="15111" width="15.28515625" style="80" bestFit="1" customWidth="1"/>
    <col min="15112" max="15112" width="15.140625" style="80" customWidth="1"/>
    <col min="15113" max="15113" width="15.5703125" style="80" customWidth="1"/>
    <col min="15114" max="15361" width="9.140625" style="80"/>
    <col min="15362" max="15362" width="16.85546875" style="80" customWidth="1"/>
    <col min="15363" max="15363" width="17.42578125" style="80" customWidth="1"/>
    <col min="15364" max="15364" width="16.85546875" style="80" customWidth="1"/>
    <col min="15365" max="15365" width="17.85546875" style="80" bestFit="1" customWidth="1"/>
    <col min="15366" max="15366" width="14.5703125" style="80" bestFit="1" customWidth="1"/>
    <col min="15367" max="15367" width="15.28515625" style="80" bestFit="1" customWidth="1"/>
    <col min="15368" max="15368" width="15.140625" style="80" customWidth="1"/>
    <col min="15369" max="15369" width="15.5703125" style="80" customWidth="1"/>
    <col min="15370" max="15617" width="9.140625" style="80"/>
    <col min="15618" max="15618" width="16.85546875" style="80" customWidth="1"/>
    <col min="15619" max="15619" width="17.42578125" style="80" customWidth="1"/>
    <col min="15620" max="15620" width="16.85546875" style="80" customWidth="1"/>
    <col min="15621" max="15621" width="17.85546875" style="80" bestFit="1" customWidth="1"/>
    <col min="15622" max="15622" width="14.5703125" style="80" bestFit="1" customWidth="1"/>
    <col min="15623" max="15623" width="15.28515625" style="80" bestFit="1" customWidth="1"/>
    <col min="15624" max="15624" width="15.140625" style="80" customWidth="1"/>
    <col min="15625" max="15625" width="15.5703125" style="80" customWidth="1"/>
    <col min="15626" max="15873" width="9.140625" style="80"/>
    <col min="15874" max="15874" width="16.85546875" style="80" customWidth="1"/>
    <col min="15875" max="15875" width="17.42578125" style="80" customWidth="1"/>
    <col min="15876" max="15876" width="16.85546875" style="80" customWidth="1"/>
    <col min="15877" max="15877" width="17.85546875" style="80" bestFit="1" customWidth="1"/>
    <col min="15878" max="15878" width="14.5703125" style="80" bestFit="1" customWidth="1"/>
    <col min="15879" max="15879" width="15.28515625" style="80" bestFit="1" customWidth="1"/>
    <col min="15880" max="15880" width="15.140625" style="80" customWidth="1"/>
    <col min="15881" max="15881" width="15.5703125" style="80" customWidth="1"/>
    <col min="15882" max="16129" width="9.140625" style="80"/>
    <col min="16130" max="16130" width="16.85546875" style="80" customWidth="1"/>
    <col min="16131" max="16131" width="17.42578125" style="80" customWidth="1"/>
    <col min="16132" max="16132" width="16.85546875" style="80" customWidth="1"/>
    <col min="16133" max="16133" width="17.85546875" style="80" bestFit="1" customWidth="1"/>
    <col min="16134" max="16134" width="14.5703125" style="80" bestFit="1" customWidth="1"/>
    <col min="16135" max="16135" width="15.28515625" style="80" bestFit="1" customWidth="1"/>
    <col min="16136" max="16136" width="15.140625" style="80" customWidth="1"/>
    <col min="16137" max="16137" width="15.5703125" style="80" customWidth="1"/>
    <col min="16138" max="16384" width="9.140625" style="80"/>
  </cols>
  <sheetData>
    <row r="2" spans="2:11" ht="33" x14ac:dyDescent="0.25">
      <c r="B2" s="78" t="s">
        <v>78</v>
      </c>
      <c r="C2" s="78" t="s">
        <v>79</v>
      </c>
      <c r="D2" s="86" t="s">
        <v>388</v>
      </c>
      <c r="E2" s="78" t="s">
        <v>80</v>
      </c>
      <c r="F2" s="79" t="s">
        <v>386</v>
      </c>
      <c r="G2" s="79" t="s">
        <v>385</v>
      </c>
      <c r="H2" s="78" t="s">
        <v>81</v>
      </c>
      <c r="I2" s="79" t="s">
        <v>387</v>
      </c>
    </row>
    <row r="3" spans="2:11" x14ac:dyDescent="0.25">
      <c r="B3" s="78"/>
      <c r="C3" s="78"/>
      <c r="D3" s="60"/>
      <c r="E3" s="78"/>
      <c r="F3" s="78"/>
      <c r="G3" s="78"/>
      <c r="H3" s="78"/>
      <c r="I3" s="78"/>
    </row>
    <row r="4" spans="2:11" x14ac:dyDescent="0.25">
      <c r="B4" s="75" t="s">
        <v>82</v>
      </c>
      <c r="C4" s="75" t="s">
        <v>83</v>
      </c>
      <c r="D4" s="87">
        <v>1070295644</v>
      </c>
      <c r="E4" s="75">
        <v>2004</v>
      </c>
      <c r="F4" s="75">
        <f>2024-E4</f>
        <v>20</v>
      </c>
      <c r="G4" s="81">
        <v>16</v>
      </c>
      <c r="H4" s="76"/>
      <c r="I4" s="76"/>
      <c r="J4" s="77"/>
      <c r="K4" s="77"/>
    </row>
    <row r="5" spans="2:11" x14ac:dyDescent="0.25">
      <c r="B5" s="75" t="s">
        <v>84</v>
      </c>
      <c r="C5" s="75" t="s">
        <v>85</v>
      </c>
      <c r="D5" s="87">
        <v>860979732</v>
      </c>
      <c r="E5" s="75">
        <v>2007</v>
      </c>
      <c r="F5" s="75">
        <f t="shared" ref="F5:F68" si="0">2024-E5</f>
        <v>17</v>
      </c>
      <c r="G5" s="81">
        <v>20</v>
      </c>
      <c r="H5" s="76"/>
      <c r="I5" s="76"/>
      <c r="J5" s="77"/>
      <c r="K5" s="77"/>
    </row>
    <row r="6" spans="2:11" x14ac:dyDescent="0.25">
      <c r="B6" s="75" t="s">
        <v>86</v>
      </c>
      <c r="C6" s="75" t="s">
        <v>87</v>
      </c>
      <c r="D6" s="87">
        <v>789526094</v>
      </c>
      <c r="E6" s="75">
        <v>2007</v>
      </c>
      <c r="F6" s="75">
        <f t="shared" si="0"/>
        <v>17</v>
      </c>
      <c r="G6" s="81">
        <v>20</v>
      </c>
      <c r="H6" s="76"/>
      <c r="I6" s="76"/>
      <c r="J6" s="77"/>
      <c r="K6" s="77"/>
    </row>
    <row r="7" spans="2:11" ht="33" customHeight="1" x14ac:dyDescent="0.25">
      <c r="B7" s="75" t="s">
        <v>88</v>
      </c>
      <c r="C7" s="75" t="s">
        <v>89</v>
      </c>
      <c r="D7" s="87">
        <v>247795664</v>
      </c>
      <c r="E7" s="75">
        <v>2018</v>
      </c>
      <c r="F7" s="75">
        <f t="shared" si="0"/>
        <v>6</v>
      </c>
      <c r="G7" s="81">
        <v>30</v>
      </c>
      <c r="H7" s="76"/>
      <c r="I7" s="76"/>
      <c r="J7" s="77"/>
      <c r="K7" s="77"/>
    </row>
    <row r="8" spans="2:11" ht="33" x14ac:dyDescent="0.25">
      <c r="B8" s="75" t="s">
        <v>90</v>
      </c>
      <c r="C8" s="75" t="s">
        <v>91</v>
      </c>
      <c r="D8" s="87">
        <v>221713403</v>
      </c>
      <c r="E8" s="75">
        <v>2004</v>
      </c>
      <c r="F8" s="75">
        <f t="shared" si="0"/>
        <v>20</v>
      </c>
      <c r="G8" s="81">
        <v>16</v>
      </c>
      <c r="H8" s="76"/>
      <c r="I8" s="76"/>
      <c r="J8" s="77"/>
      <c r="K8" s="77"/>
    </row>
    <row r="9" spans="2:11" x14ac:dyDescent="0.25">
      <c r="B9" s="75" t="s">
        <v>92</v>
      </c>
      <c r="C9" s="75" t="s">
        <v>93</v>
      </c>
      <c r="D9" s="87">
        <v>215033322</v>
      </c>
      <c r="E9" s="75">
        <v>2017</v>
      </c>
      <c r="F9" s="75">
        <f t="shared" si="0"/>
        <v>7</v>
      </c>
      <c r="G9" s="81">
        <v>29</v>
      </c>
      <c r="H9" s="76"/>
      <c r="I9" s="76"/>
      <c r="J9" s="77"/>
      <c r="K9" s="77"/>
    </row>
    <row r="10" spans="2:11" x14ac:dyDescent="0.25">
      <c r="B10" s="75" t="s">
        <v>94</v>
      </c>
      <c r="C10" s="75" t="s">
        <v>95</v>
      </c>
      <c r="D10" s="87">
        <v>210216793</v>
      </c>
      <c r="E10" s="75">
        <v>2008</v>
      </c>
      <c r="F10" s="75">
        <f t="shared" si="0"/>
        <v>16</v>
      </c>
      <c r="G10" s="81">
        <v>20</v>
      </c>
      <c r="H10" s="76"/>
      <c r="I10" s="76"/>
      <c r="J10" s="77"/>
      <c r="K10" s="77"/>
    </row>
    <row r="11" spans="2:11" ht="33" x14ac:dyDescent="0.25">
      <c r="B11" s="75" t="s">
        <v>96</v>
      </c>
      <c r="C11" s="75" t="s">
        <v>97</v>
      </c>
      <c r="D11" s="87">
        <v>184994060</v>
      </c>
      <c r="E11" s="75">
        <v>2004</v>
      </c>
      <c r="F11" s="75">
        <f t="shared" si="0"/>
        <v>20</v>
      </c>
      <c r="G11" s="81">
        <v>16</v>
      </c>
      <c r="H11" s="76"/>
      <c r="I11" s="76"/>
      <c r="J11" s="77"/>
      <c r="K11" s="77"/>
    </row>
    <row r="12" spans="2:11" x14ac:dyDescent="0.25">
      <c r="B12" s="75" t="s">
        <v>98</v>
      </c>
      <c r="C12" s="75" t="s">
        <v>99</v>
      </c>
      <c r="D12" s="87">
        <v>175190362</v>
      </c>
      <c r="E12" s="75">
        <v>2008</v>
      </c>
      <c r="F12" s="75">
        <f t="shared" si="0"/>
        <v>16</v>
      </c>
      <c r="G12" s="81">
        <v>20</v>
      </c>
      <c r="H12" s="76"/>
      <c r="I12" s="76"/>
      <c r="J12" s="77"/>
      <c r="K12" s="77"/>
    </row>
    <row r="13" spans="2:11" x14ac:dyDescent="0.25">
      <c r="B13" s="75" t="s">
        <v>100</v>
      </c>
      <c r="C13" s="75" t="s">
        <v>101</v>
      </c>
      <c r="D13" s="87">
        <v>155921940</v>
      </c>
      <c r="E13" s="75">
        <v>2012</v>
      </c>
      <c r="F13" s="75">
        <f t="shared" si="0"/>
        <v>12</v>
      </c>
      <c r="G13" s="81">
        <v>24</v>
      </c>
      <c r="H13" s="76"/>
      <c r="I13" s="76"/>
      <c r="J13" s="77"/>
      <c r="K13" s="77"/>
    </row>
    <row r="14" spans="2:11" ht="33" x14ac:dyDescent="0.25">
      <c r="B14" s="75" t="s">
        <v>102</v>
      </c>
      <c r="C14" s="75" t="s">
        <v>103</v>
      </c>
      <c r="D14" s="87">
        <v>152875670</v>
      </c>
      <c r="E14" s="75">
        <v>2018</v>
      </c>
      <c r="F14" s="75">
        <f t="shared" si="0"/>
        <v>6</v>
      </c>
      <c r="G14" s="81">
        <v>30</v>
      </c>
      <c r="H14" s="76"/>
      <c r="I14" s="76"/>
      <c r="J14" s="77"/>
      <c r="K14" s="77"/>
    </row>
    <row r="15" spans="2:11" x14ac:dyDescent="0.25">
      <c r="B15" s="75" t="s">
        <v>104</v>
      </c>
      <c r="C15" s="75" t="s">
        <v>105</v>
      </c>
      <c r="D15" s="87">
        <v>112194780</v>
      </c>
      <c r="E15" s="75">
        <v>2004</v>
      </c>
      <c r="F15" s="75">
        <f t="shared" si="0"/>
        <v>20</v>
      </c>
      <c r="G15" s="81">
        <v>17</v>
      </c>
      <c r="H15" s="76"/>
      <c r="I15" s="76"/>
      <c r="J15" s="77"/>
      <c r="K15" s="77"/>
    </row>
    <row r="16" spans="2:11" x14ac:dyDescent="0.25">
      <c r="B16" s="75" t="s">
        <v>106</v>
      </c>
      <c r="C16" s="75" t="s">
        <v>107</v>
      </c>
      <c r="D16" s="87">
        <v>104755015</v>
      </c>
      <c r="E16" s="75">
        <v>2004</v>
      </c>
      <c r="F16" s="75">
        <f t="shared" si="0"/>
        <v>20</v>
      </c>
      <c r="G16" s="81">
        <v>16</v>
      </c>
      <c r="H16" s="76"/>
      <c r="I16" s="76"/>
      <c r="J16" s="77"/>
      <c r="K16" s="77"/>
    </row>
    <row r="17" spans="2:11" x14ac:dyDescent="0.25">
      <c r="B17" s="75" t="s">
        <v>108</v>
      </c>
      <c r="C17" s="75" t="s">
        <v>109</v>
      </c>
      <c r="D17" s="87">
        <v>97102582</v>
      </c>
      <c r="E17" s="75">
        <v>2008</v>
      </c>
      <c r="F17" s="75">
        <f t="shared" si="0"/>
        <v>16</v>
      </c>
      <c r="G17" s="81">
        <v>5</v>
      </c>
      <c r="H17" s="76"/>
      <c r="I17" s="76"/>
      <c r="J17" s="77"/>
      <c r="K17" s="77"/>
    </row>
    <row r="18" spans="2:11" x14ac:dyDescent="0.25">
      <c r="B18" s="75" t="s">
        <v>110</v>
      </c>
      <c r="C18" s="75" t="s">
        <v>111</v>
      </c>
      <c r="D18" s="87">
        <v>86481560</v>
      </c>
      <c r="E18" s="75">
        <v>2008</v>
      </c>
      <c r="F18" s="75">
        <f t="shared" si="0"/>
        <v>16</v>
      </c>
      <c r="G18" s="81">
        <v>20</v>
      </c>
      <c r="H18" s="76"/>
      <c r="I18" s="76"/>
      <c r="J18" s="77"/>
      <c r="K18" s="77"/>
    </row>
    <row r="19" spans="2:11" x14ac:dyDescent="0.25">
      <c r="B19" s="75" t="s">
        <v>112</v>
      </c>
      <c r="C19" s="75" t="s">
        <v>113</v>
      </c>
      <c r="D19" s="87">
        <v>83659892</v>
      </c>
      <c r="E19" s="75">
        <v>2004</v>
      </c>
      <c r="F19" s="75">
        <f t="shared" si="0"/>
        <v>20</v>
      </c>
      <c r="G19" s="81">
        <v>16</v>
      </c>
      <c r="H19" s="76"/>
      <c r="I19" s="76"/>
      <c r="J19" s="77"/>
      <c r="K19" s="77"/>
    </row>
    <row r="20" spans="2:11" x14ac:dyDescent="0.25">
      <c r="B20" s="75" t="s">
        <v>114</v>
      </c>
      <c r="C20" s="75" t="s">
        <v>115</v>
      </c>
      <c r="D20" s="87">
        <v>81439027</v>
      </c>
      <c r="E20" s="75">
        <v>2016</v>
      </c>
      <c r="F20" s="75">
        <f t="shared" si="0"/>
        <v>8</v>
      </c>
      <c r="G20" s="81">
        <v>28</v>
      </c>
      <c r="H20" s="76"/>
      <c r="I20" s="76"/>
      <c r="J20" s="77"/>
      <c r="K20" s="77"/>
    </row>
    <row r="21" spans="2:11" x14ac:dyDescent="0.25">
      <c r="B21" s="75" t="s">
        <v>116</v>
      </c>
      <c r="C21" s="75" t="s">
        <v>117</v>
      </c>
      <c r="D21" s="87">
        <v>80260817</v>
      </c>
      <c r="E21" s="75">
        <v>2004</v>
      </c>
      <c r="F21" s="75">
        <f t="shared" si="0"/>
        <v>20</v>
      </c>
      <c r="G21" s="81">
        <v>17</v>
      </c>
      <c r="H21" s="76"/>
      <c r="I21" s="76"/>
      <c r="J21" s="77"/>
      <c r="K21" s="77"/>
    </row>
    <row r="22" spans="2:11" x14ac:dyDescent="0.25">
      <c r="B22" s="75" t="s">
        <v>118</v>
      </c>
      <c r="C22" s="75" t="s">
        <v>119</v>
      </c>
      <c r="D22" s="87">
        <v>79036191</v>
      </c>
      <c r="E22" s="75">
        <v>2016</v>
      </c>
      <c r="F22" s="75">
        <f t="shared" si="0"/>
        <v>8</v>
      </c>
      <c r="G22" s="81">
        <v>28</v>
      </c>
      <c r="H22" s="76"/>
      <c r="I22" s="76"/>
      <c r="J22" s="77"/>
      <c r="K22" s="77"/>
    </row>
    <row r="23" spans="2:11" x14ac:dyDescent="0.25">
      <c r="B23" s="75" t="s">
        <v>120</v>
      </c>
      <c r="C23" s="75" t="s">
        <v>115</v>
      </c>
      <c r="D23" s="87">
        <v>78291721</v>
      </c>
      <c r="E23" s="75">
        <v>2016</v>
      </c>
      <c r="F23" s="75">
        <f t="shared" si="0"/>
        <v>8</v>
      </c>
      <c r="G23" s="81">
        <v>28</v>
      </c>
      <c r="H23" s="76"/>
      <c r="I23" s="76"/>
      <c r="J23" s="77"/>
      <c r="K23" s="77"/>
    </row>
    <row r="24" spans="2:11" x14ac:dyDescent="0.25">
      <c r="B24" s="75" t="s">
        <v>121</v>
      </c>
      <c r="C24" s="75" t="s">
        <v>85</v>
      </c>
      <c r="D24" s="87">
        <v>78265850</v>
      </c>
      <c r="E24" s="75">
        <v>2005</v>
      </c>
      <c r="F24" s="75">
        <f t="shared" si="0"/>
        <v>19</v>
      </c>
      <c r="G24" s="81">
        <v>20</v>
      </c>
      <c r="H24" s="76"/>
      <c r="I24" s="76"/>
      <c r="J24" s="77"/>
      <c r="K24" s="77"/>
    </row>
    <row r="25" spans="2:11" x14ac:dyDescent="0.25">
      <c r="B25" s="75" t="s">
        <v>122</v>
      </c>
      <c r="C25" s="75" t="s">
        <v>123</v>
      </c>
      <c r="D25" s="87">
        <v>78130440</v>
      </c>
      <c r="E25" s="75">
        <v>2004</v>
      </c>
      <c r="F25" s="75">
        <f t="shared" si="0"/>
        <v>20</v>
      </c>
      <c r="G25" s="81">
        <v>21</v>
      </c>
      <c r="H25" s="76"/>
      <c r="I25" s="76"/>
      <c r="J25" s="77"/>
      <c r="K25" s="77"/>
    </row>
    <row r="26" spans="2:11" x14ac:dyDescent="0.25">
      <c r="B26" s="75" t="s">
        <v>124</v>
      </c>
      <c r="C26" s="75" t="s">
        <v>125</v>
      </c>
      <c r="D26" s="87">
        <v>68549435</v>
      </c>
      <c r="E26" s="75">
        <v>2017</v>
      </c>
      <c r="F26" s="75">
        <f t="shared" si="0"/>
        <v>7</v>
      </c>
      <c r="G26" s="81">
        <v>29</v>
      </c>
      <c r="H26" s="76"/>
      <c r="I26" s="76"/>
      <c r="J26" s="77"/>
      <c r="K26" s="77"/>
    </row>
    <row r="27" spans="2:11" x14ac:dyDescent="0.25">
      <c r="B27" s="75" t="s">
        <v>126</v>
      </c>
      <c r="C27" s="75" t="s">
        <v>127</v>
      </c>
      <c r="D27" s="87">
        <v>64760759</v>
      </c>
      <c r="E27" s="75">
        <v>2007</v>
      </c>
      <c r="F27" s="75">
        <f t="shared" si="0"/>
        <v>17</v>
      </c>
      <c r="G27" s="81">
        <v>19</v>
      </c>
      <c r="H27" s="76"/>
      <c r="I27" s="76"/>
      <c r="J27" s="77"/>
      <c r="K27" s="77"/>
    </row>
    <row r="28" spans="2:11" x14ac:dyDescent="0.25">
      <c r="B28" s="75" t="s">
        <v>128</v>
      </c>
      <c r="C28" s="75" t="s">
        <v>129</v>
      </c>
      <c r="D28" s="87">
        <v>59736927</v>
      </c>
      <c r="E28" s="75">
        <v>2018</v>
      </c>
      <c r="F28" s="75">
        <f t="shared" si="0"/>
        <v>6</v>
      </c>
      <c r="G28" s="81">
        <v>12</v>
      </c>
      <c r="H28" s="76"/>
      <c r="I28" s="76"/>
      <c r="J28" s="77"/>
      <c r="K28" s="77"/>
    </row>
    <row r="29" spans="2:11" x14ac:dyDescent="0.25">
      <c r="B29" s="75" t="s">
        <v>130</v>
      </c>
      <c r="C29" s="75" t="s">
        <v>131</v>
      </c>
      <c r="D29" s="87">
        <v>53742838</v>
      </c>
      <c r="E29" s="75">
        <v>2017</v>
      </c>
      <c r="F29" s="75">
        <f t="shared" si="0"/>
        <v>7</v>
      </c>
      <c r="G29" s="81">
        <v>29</v>
      </c>
      <c r="H29" s="76"/>
      <c r="I29" s="76"/>
      <c r="J29" s="77"/>
      <c r="K29" s="77"/>
    </row>
    <row r="30" spans="2:11" x14ac:dyDescent="0.25">
      <c r="B30" s="75" t="s">
        <v>132</v>
      </c>
      <c r="C30" s="75" t="s">
        <v>133</v>
      </c>
      <c r="D30" s="87">
        <v>35696148</v>
      </c>
      <c r="E30" s="75">
        <v>2007</v>
      </c>
      <c r="F30" s="75">
        <f t="shared" si="0"/>
        <v>17</v>
      </c>
      <c r="G30" s="81">
        <v>19</v>
      </c>
      <c r="H30" s="76"/>
      <c r="I30" s="76"/>
      <c r="J30" s="77"/>
      <c r="K30" s="77"/>
    </row>
    <row r="31" spans="2:11" x14ac:dyDescent="0.25">
      <c r="B31" s="75" t="s">
        <v>134</v>
      </c>
      <c r="C31" s="75" t="s">
        <v>89</v>
      </c>
      <c r="D31" s="87">
        <v>33272723</v>
      </c>
      <c r="E31" s="75">
        <v>2018</v>
      </c>
      <c r="F31" s="75">
        <f t="shared" si="0"/>
        <v>6</v>
      </c>
      <c r="G31" s="81">
        <v>30</v>
      </c>
      <c r="H31" s="76"/>
      <c r="I31" s="76"/>
      <c r="J31" s="77"/>
      <c r="K31" s="77"/>
    </row>
    <row r="32" spans="2:11" x14ac:dyDescent="0.25">
      <c r="B32" s="75" t="s">
        <v>135</v>
      </c>
      <c r="C32" s="75" t="s">
        <v>133</v>
      </c>
      <c r="D32" s="87">
        <v>32946131</v>
      </c>
      <c r="E32" s="75">
        <v>2007</v>
      </c>
      <c r="F32" s="75">
        <f t="shared" si="0"/>
        <v>17</v>
      </c>
      <c r="G32" s="81">
        <v>19</v>
      </c>
      <c r="H32" s="76"/>
      <c r="I32" s="76"/>
      <c r="J32" s="77"/>
      <c r="K32" s="77"/>
    </row>
    <row r="33" spans="2:11" x14ac:dyDescent="0.25">
      <c r="B33" s="75" t="s">
        <v>136</v>
      </c>
      <c r="C33" s="75" t="s">
        <v>133</v>
      </c>
      <c r="D33" s="87">
        <v>29047077</v>
      </c>
      <c r="E33" s="75">
        <v>2007</v>
      </c>
      <c r="F33" s="75">
        <f t="shared" si="0"/>
        <v>17</v>
      </c>
      <c r="G33" s="81">
        <v>19</v>
      </c>
      <c r="H33" s="76"/>
      <c r="I33" s="76"/>
      <c r="J33" s="77"/>
      <c r="K33" s="77"/>
    </row>
    <row r="34" spans="2:11" x14ac:dyDescent="0.25">
      <c r="B34" s="75" t="s">
        <v>137</v>
      </c>
      <c r="C34" s="75" t="s">
        <v>107</v>
      </c>
      <c r="D34" s="87">
        <v>28933487</v>
      </c>
      <c r="E34" s="75">
        <v>2004</v>
      </c>
      <c r="F34" s="75">
        <f t="shared" si="0"/>
        <v>20</v>
      </c>
      <c r="G34" s="81">
        <v>16</v>
      </c>
      <c r="H34" s="76"/>
      <c r="I34" s="76"/>
      <c r="J34" s="77"/>
      <c r="K34" s="77"/>
    </row>
    <row r="35" spans="2:11" x14ac:dyDescent="0.25">
      <c r="B35" s="75" t="s">
        <v>138</v>
      </c>
      <c r="C35" s="75" t="s">
        <v>139</v>
      </c>
      <c r="D35" s="87">
        <v>28354615</v>
      </c>
      <c r="E35" s="75">
        <v>2004</v>
      </c>
      <c r="F35" s="75">
        <f t="shared" si="0"/>
        <v>20</v>
      </c>
      <c r="G35" s="81">
        <v>3</v>
      </c>
      <c r="H35" s="76"/>
      <c r="I35" s="76"/>
      <c r="J35" s="77"/>
      <c r="K35" s="77"/>
    </row>
    <row r="36" spans="2:11" x14ac:dyDescent="0.25">
      <c r="B36" s="75" t="s">
        <v>140</v>
      </c>
      <c r="C36" s="75" t="s">
        <v>127</v>
      </c>
      <c r="D36" s="87">
        <v>27803283</v>
      </c>
      <c r="E36" s="75">
        <v>2005</v>
      </c>
      <c r="F36" s="75">
        <f>2024-E36</f>
        <v>19</v>
      </c>
      <c r="G36" s="81">
        <v>7</v>
      </c>
      <c r="H36" s="76"/>
      <c r="I36" s="76"/>
      <c r="J36" s="77"/>
      <c r="K36" s="77"/>
    </row>
    <row r="37" spans="2:11" x14ac:dyDescent="0.25">
      <c r="B37" s="75" t="s">
        <v>141</v>
      </c>
      <c r="C37" s="75" t="s">
        <v>105</v>
      </c>
      <c r="D37" s="87">
        <v>27103897</v>
      </c>
      <c r="E37" s="75">
        <v>2016</v>
      </c>
      <c r="F37" s="75">
        <f t="shared" si="0"/>
        <v>8</v>
      </c>
      <c r="G37" s="81">
        <v>28</v>
      </c>
      <c r="H37" s="76"/>
      <c r="I37" s="76"/>
      <c r="J37" s="77"/>
      <c r="K37" s="77"/>
    </row>
    <row r="38" spans="2:11" x14ac:dyDescent="0.25">
      <c r="B38" s="75" t="s">
        <v>142</v>
      </c>
      <c r="C38" s="75" t="s">
        <v>143</v>
      </c>
      <c r="D38" s="87">
        <v>25791006</v>
      </c>
      <c r="E38" s="75">
        <v>2004</v>
      </c>
      <c r="F38" s="75">
        <f t="shared" si="0"/>
        <v>20</v>
      </c>
      <c r="G38" s="81">
        <v>16</v>
      </c>
      <c r="H38" s="76"/>
      <c r="I38" s="76"/>
      <c r="J38" s="77"/>
      <c r="K38" s="77"/>
    </row>
    <row r="39" spans="2:11" x14ac:dyDescent="0.25">
      <c r="B39" s="75" t="s">
        <v>144</v>
      </c>
      <c r="C39" s="75" t="s">
        <v>145</v>
      </c>
      <c r="D39" s="87">
        <v>25115166</v>
      </c>
      <c r="E39" s="75">
        <v>2004</v>
      </c>
      <c r="F39" s="75">
        <f t="shared" si="0"/>
        <v>20</v>
      </c>
      <c r="G39" s="81">
        <v>16</v>
      </c>
      <c r="H39" s="76"/>
      <c r="I39" s="76"/>
      <c r="J39" s="77"/>
      <c r="K39" s="77"/>
    </row>
    <row r="40" spans="2:11" x14ac:dyDescent="0.25">
      <c r="B40" s="75" t="s">
        <v>146</v>
      </c>
      <c r="C40" s="75" t="s">
        <v>147</v>
      </c>
      <c r="D40" s="87">
        <v>24854500</v>
      </c>
      <c r="E40" s="75">
        <v>2018</v>
      </c>
      <c r="F40" s="75">
        <f t="shared" si="0"/>
        <v>6</v>
      </c>
      <c r="G40" s="81">
        <v>30</v>
      </c>
      <c r="H40" s="76"/>
      <c r="I40" s="76"/>
      <c r="J40" s="77"/>
      <c r="K40" s="77"/>
    </row>
    <row r="41" spans="2:11" x14ac:dyDescent="0.25">
      <c r="B41" s="75" t="s">
        <v>148</v>
      </c>
      <c r="C41" s="75" t="s">
        <v>145</v>
      </c>
      <c r="D41" s="87">
        <v>24470772</v>
      </c>
      <c r="E41" s="75">
        <v>2005</v>
      </c>
      <c r="F41" s="75">
        <f t="shared" si="0"/>
        <v>19</v>
      </c>
      <c r="G41" s="81">
        <v>17</v>
      </c>
      <c r="H41" s="76"/>
      <c r="I41" s="76"/>
      <c r="J41" s="77"/>
      <c r="K41" s="77"/>
    </row>
    <row r="42" spans="2:11" x14ac:dyDescent="0.25">
      <c r="B42" s="75" t="s">
        <v>149</v>
      </c>
      <c r="C42" s="75" t="s">
        <v>150</v>
      </c>
      <c r="D42" s="87">
        <v>23598969</v>
      </c>
      <c r="E42" s="75">
        <v>2004</v>
      </c>
      <c r="F42" s="75">
        <f t="shared" si="0"/>
        <v>20</v>
      </c>
      <c r="G42" s="81">
        <v>16</v>
      </c>
      <c r="H42" s="76"/>
      <c r="I42" s="76"/>
      <c r="J42" s="77"/>
      <c r="K42" s="77"/>
    </row>
    <row r="43" spans="2:11" ht="33" x14ac:dyDescent="0.25">
      <c r="B43" s="75" t="s">
        <v>151</v>
      </c>
      <c r="C43" s="75" t="s">
        <v>152</v>
      </c>
      <c r="D43" s="87">
        <v>21516617</v>
      </c>
      <c r="E43" s="75">
        <v>2018</v>
      </c>
      <c r="F43" s="75">
        <f t="shared" si="0"/>
        <v>6</v>
      </c>
      <c r="G43" s="81">
        <v>20</v>
      </c>
      <c r="H43" s="76"/>
      <c r="I43" s="76"/>
      <c r="J43" s="77"/>
      <c r="K43" s="77"/>
    </row>
    <row r="44" spans="2:11" x14ac:dyDescent="0.25">
      <c r="B44" s="75" t="s">
        <v>153</v>
      </c>
      <c r="C44" s="75" t="s">
        <v>154</v>
      </c>
      <c r="D44" s="87">
        <v>21396441</v>
      </c>
      <c r="E44" s="75">
        <v>2006</v>
      </c>
      <c r="F44" s="75">
        <f t="shared" si="0"/>
        <v>18</v>
      </c>
      <c r="G44" s="81">
        <v>18</v>
      </c>
      <c r="H44" s="76"/>
      <c r="I44" s="76"/>
      <c r="J44" s="77"/>
      <c r="K44" s="77"/>
    </row>
    <row r="45" spans="2:11" x14ac:dyDescent="0.25">
      <c r="B45" s="75" t="s">
        <v>155</v>
      </c>
      <c r="C45" s="75" t="s">
        <v>87</v>
      </c>
      <c r="D45" s="87">
        <v>20865346</v>
      </c>
      <c r="E45" s="75">
        <v>2006</v>
      </c>
      <c r="F45" s="75">
        <f t="shared" si="0"/>
        <v>18</v>
      </c>
      <c r="G45" s="81">
        <v>18</v>
      </c>
      <c r="H45" s="76"/>
      <c r="I45" s="76"/>
      <c r="J45" s="77"/>
      <c r="K45" s="77"/>
    </row>
    <row r="46" spans="2:11" x14ac:dyDescent="0.25">
      <c r="B46" s="75" t="s">
        <v>156</v>
      </c>
      <c r="C46" s="75" t="s">
        <v>157</v>
      </c>
      <c r="D46" s="87">
        <v>20732751</v>
      </c>
      <c r="E46" s="75">
        <v>2016</v>
      </c>
      <c r="F46" s="75">
        <f t="shared" si="0"/>
        <v>8</v>
      </c>
      <c r="G46" s="81">
        <v>28</v>
      </c>
      <c r="H46" s="76"/>
      <c r="I46" s="76"/>
      <c r="J46" s="77"/>
      <c r="K46" s="77"/>
    </row>
    <row r="47" spans="2:11" x14ac:dyDescent="0.25">
      <c r="B47" s="75" t="s">
        <v>158</v>
      </c>
      <c r="C47" s="75" t="s">
        <v>89</v>
      </c>
      <c r="D47" s="87">
        <v>20139828</v>
      </c>
      <c r="E47" s="75">
        <v>2018</v>
      </c>
      <c r="F47" s="75">
        <f t="shared" si="0"/>
        <v>6</v>
      </c>
      <c r="G47" s="81">
        <v>30</v>
      </c>
      <c r="H47" s="76"/>
      <c r="I47" s="76"/>
      <c r="J47" s="77"/>
      <c r="K47" s="77"/>
    </row>
    <row r="48" spans="2:11" x14ac:dyDescent="0.25">
      <c r="B48" s="75" t="s">
        <v>159</v>
      </c>
      <c r="C48" s="75" t="s">
        <v>160</v>
      </c>
      <c r="D48" s="87">
        <v>18190552</v>
      </c>
      <c r="E48" s="75">
        <v>2004</v>
      </c>
      <c r="F48" s="75">
        <f>2024-E48</f>
        <v>20</v>
      </c>
      <c r="G48" s="81">
        <v>3</v>
      </c>
      <c r="H48" s="76"/>
      <c r="I48" s="76"/>
      <c r="J48" s="77"/>
      <c r="K48" s="77"/>
    </row>
    <row r="49" spans="2:11" x14ac:dyDescent="0.25">
      <c r="B49" s="75" t="s">
        <v>161</v>
      </c>
      <c r="C49" s="75" t="s">
        <v>115</v>
      </c>
      <c r="D49" s="87">
        <v>15780000</v>
      </c>
      <c r="E49" s="75">
        <v>2020</v>
      </c>
      <c r="F49" s="75">
        <f t="shared" si="0"/>
        <v>4</v>
      </c>
      <c r="G49" s="81">
        <v>32</v>
      </c>
      <c r="H49" s="76"/>
      <c r="I49" s="76"/>
      <c r="J49" s="77"/>
      <c r="K49" s="77"/>
    </row>
    <row r="50" spans="2:11" x14ac:dyDescent="0.25">
      <c r="B50" s="75" t="s">
        <v>162</v>
      </c>
      <c r="C50" s="75" t="s">
        <v>163</v>
      </c>
      <c r="D50" s="87">
        <v>15628671</v>
      </c>
      <c r="E50" s="75">
        <v>2004</v>
      </c>
      <c r="F50" s="75">
        <f t="shared" si="0"/>
        <v>20</v>
      </c>
      <c r="G50" s="81">
        <v>16</v>
      </c>
      <c r="H50" s="76"/>
      <c r="I50" s="76"/>
      <c r="J50" s="77"/>
      <c r="K50" s="77"/>
    </row>
    <row r="51" spans="2:11" x14ac:dyDescent="0.25">
      <c r="B51" s="75" t="s">
        <v>164</v>
      </c>
      <c r="C51" s="75" t="s">
        <v>165</v>
      </c>
      <c r="D51" s="87">
        <v>15511272</v>
      </c>
      <c r="E51" s="75">
        <v>2006</v>
      </c>
      <c r="F51" s="75">
        <f t="shared" si="0"/>
        <v>18</v>
      </c>
      <c r="G51" s="81">
        <v>18</v>
      </c>
      <c r="H51" s="76"/>
      <c r="I51" s="76"/>
      <c r="J51" s="77"/>
      <c r="K51" s="77"/>
    </row>
    <row r="52" spans="2:11" x14ac:dyDescent="0.25">
      <c r="B52" s="75" t="s">
        <v>166</v>
      </c>
      <c r="C52" s="75" t="s">
        <v>167</v>
      </c>
      <c r="D52" s="87">
        <v>14526460</v>
      </c>
      <c r="E52" s="75">
        <v>2018</v>
      </c>
      <c r="F52" s="75">
        <f t="shared" si="0"/>
        <v>6</v>
      </c>
      <c r="G52" s="81">
        <v>30</v>
      </c>
      <c r="H52" s="76"/>
      <c r="I52" s="76"/>
      <c r="J52" s="77"/>
      <c r="K52" s="77"/>
    </row>
    <row r="53" spans="2:11" x14ac:dyDescent="0.25">
      <c r="B53" s="75" t="s">
        <v>168</v>
      </c>
      <c r="C53" s="75" t="s">
        <v>169</v>
      </c>
      <c r="D53" s="87">
        <v>14482790</v>
      </c>
      <c r="E53" s="75">
        <v>2009</v>
      </c>
      <c r="F53" s="75">
        <f t="shared" si="0"/>
        <v>15</v>
      </c>
      <c r="G53" s="81">
        <v>21</v>
      </c>
      <c r="H53" s="76"/>
      <c r="I53" s="76"/>
      <c r="J53" s="77"/>
      <c r="K53" s="77"/>
    </row>
    <row r="54" spans="2:11" x14ac:dyDescent="0.25">
      <c r="B54" s="75" t="s">
        <v>170</v>
      </c>
      <c r="C54" s="75" t="s">
        <v>171</v>
      </c>
      <c r="D54" s="87">
        <v>13410152</v>
      </c>
      <c r="E54" s="75">
        <v>2004</v>
      </c>
      <c r="F54" s="75">
        <f t="shared" si="0"/>
        <v>20</v>
      </c>
      <c r="G54" s="81">
        <v>16</v>
      </c>
      <c r="H54" s="76"/>
      <c r="I54" s="76"/>
      <c r="J54" s="77"/>
      <c r="K54" s="77"/>
    </row>
    <row r="55" spans="2:11" x14ac:dyDescent="0.25">
      <c r="B55" s="75" t="s">
        <v>172</v>
      </c>
      <c r="C55" s="75" t="s">
        <v>173</v>
      </c>
      <c r="D55" s="87">
        <v>10926539</v>
      </c>
      <c r="E55" s="75">
        <v>2008</v>
      </c>
      <c r="F55" s="75">
        <f t="shared" si="0"/>
        <v>16</v>
      </c>
      <c r="G55" s="81">
        <v>5</v>
      </c>
      <c r="H55" s="76"/>
      <c r="I55" s="76"/>
      <c r="J55" s="77"/>
      <c r="K55" s="77"/>
    </row>
    <row r="56" spans="2:11" x14ac:dyDescent="0.25">
      <c r="B56" s="75" t="s">
        <v>174</v>
      </c>
      <c r="C56" s="75" t="s">
        <v>175</v>
      </c>
      <c r="D56" s="87">
        <v>9244903</v>
      </c>
      <c r="E56" s="75">
        <v>2016</v>
      </c>
      <c r="F56" s="75">
        <f t="shared" si="0"/>
        <v>8</v>
      </c>
      <c r="G56" s="81">
        <v>28</v>
      </c>
      <c r="H56" s="76"/>
      <c r="I56" s="76"/>
      <c r="J56" s="77"/>
      <c r="K56" s="77"/>
    </row>
    <row r="57" spans="2:11" x14ac:dyDescent="0.25">
      <c r="B57" s="75" t="s">
        <v>176</v>
      </c>
      <c r="C57" s="75" t="s">
        <v>160</v>
      </c>
      <c r="D57" s="87">
        <v>8043906</v>
      </c>
      <c r="E57" s="75">
        <v>2004</v>
      </c>
      <c r="F57" s="75">
        <f t="shared" si="0"/>
        <v>20</v>
      </c>
      <c r="G57" s="81">
        <v>3</v>
      </c>
      <c r="H57" s="76"/>
      <c r="I57" s="76"/>
      <c r="J57" s="77"/>
      <c r="K57" s="77"/>
    </row>
    <row r="58" spans="2:11" x14ac:dyDescent="0.25">
      <c r="B58" s="75" t="s">
        <v>177</v>
      </c>
      <c r="C58" s="75" t="s">
        <v>160</v>
      </c>
      <c r="D58" s="87">
        <v>7705750</v>
      </c>
      <c r="E58" s="75">
        <v>2005</v>
      </c>
      <c r="F58" s="75">
        <f t="shared" si="0"/>
        <v>19</v>
      </c>
      <c r="G58" s="81">
        <v>3</v>
      </c>
      <c r="H58" s="76"/>
      <c r="I58" s="76"/>
      <c r="J58" s="77"/>
      <c r="K58" s="77"/>
    </row>
    <row r="59" spans="2:11" x14ac:dyDescent="0.25">
      <c r="B59" s="75" t="s">
        <v>178</v>
      </c>
      <c r="C59" s="75" t="s">
        <v>179</v>
      </c>
      <c r="D59" s="87">
        <v>7690612</v>
      </c>
      <c r="E59" s="75">
        <v>2004</v>
      </c>
      <c r="F59" s="75">
        <f>2024-E59</f>
        <v>20</v>
      </c>
      <c r="G59" s="81">
        <v>16</v>
      </c>
      <c r="H59" s="76"/>
      <c r="I59" s="76"/>
      <c r="J59" s="77"/>
      <c r="K59" s="77"/>
    </row>
    <row r="60" spans="2:11" x14ac:dyDescent="0.25">
      <c r="B60" s="75" t="s">
        <v>180</v>
      </c>
      <c r="C60" s="75" t="s">
        <v>127</v>
      </c>
      <c r="D60" s="87">
        <v>7318585</v>
      </c>
      <c r="E60" s="75">
        <v>2004</v>
      </c>
      <c r="F60" s="75">
        <f t="shared" si="0"/>
        <v>20</v>
      </c>
      <c r="G60" s="81">
        <v>3</v>
      </c>
      <c r="H60" s="76"/>
      <c r="I60" s="76"/>
      <c r="J60" s="77"/>
      <c r="K60" s="77"/>
    </row>
    <row r="61" spans="2:11" x14ac:dyDescent="0.25">
      <c r="B61" s="75" t="s">
        <v>181</v>
      </c>
      <c r="C61" s="75" t="s">
        <v>133</v>
      </c>
      <c r="D61" s="87">
        <v>7257459</v>
      </c>
      <c r="E61" s="75">
        <v>2007</v>
      </c>
      <c r="F61" s="75">
        <f t="shared" si="0"/>
        <v>17</v>
      </c>
      <c r="G61" s="81">
        <v>19</v>
      </c>
      <c r="H61" s="76"/>
      <c r="I61" s="76"/>
      <c r="J61" s="77"/>
      <c r="K61" s="77"/>
    </row>
    <row r="62" spans="2:11" x14ac:dyDescent="0.25">
      <c r="B62" s="75" t="s">
        <v>182</v>
      </c>
      <c r="C62" s="75" t="s">
        <v>160</v>
      </c>
      <c r="D62" s="87">
        <v>6968715</v>
      </c>
      <c r="E62" s="75">
        <v>2006</v>
      </c>
      <c r="F62" s="75">
        <f t="shared" si="0"/>
        <v>18</v>
      </c>
      <c r="G62" s="81">
        <v>3</v>
      </c>
      <c r="H62" s="76"/>
      <c r="I62" s="76"/>
      <c r="J62" s="77"/>
      <c r="K62" s="77"/>
    </row>
    <row r="63" spans="2:11" x14ac:dyDescent="0.25">
      <c r="B63" s="75" t="s">
        <v>183</v>
      </c>
      <c r="C63" s="75" t="s">
        <v>160</v>
      </c>
      <c r="D63" s="87">
        <v>6741839</v>
      </c>
      <c r="E63" s="75">
        <v>2005</v>
      </c>
      <c r="F63" s="75">
        <f t="shared" si="0"/>
        <v>19</v>
      </c>
      <c r="G63" s="81">
        <v>3</v>
      </c>
      <c r="H63" s="76"/>
      <c r="I63" s="76"/>
      <c r="J63" s="77"/>
      <c r="K63" s="77"/>
    </row>
    <row r="64" spans="2:11" x14ac:dyDescent="0.25">
      <c r="B64" s="75" t="s">
        <v>184</v>
      </c>
      <c r="C64" s="75" t="s">
        <v>185</v>
      </c>
      <c r="D64" s="87">
        <v>6495136</v>
      </c>
      <c r="E64" s="75">
        <v>2005</v>
      </c>
      <c r="F64" s="75">
        <f t="shared" si="0"/>
        <v>19</v>
      </c>
      <c r="G64" s="81">
        <v>17</v>
      </c>
      <c r="H64" s="76"/>
      <c r="I64" s="76"/>
      <c r="J64" s="77"/>
      <c r="K64" s="77"/>
    </row>
    <row r="65" spans="2:11" x14ac:dyDescent="0.25">
      <c r="B65" s="75" t="s">
        <v>186</v>
      </c>
      <c r="C65" s="75" t="s">
        <v>131</v>
      </c>
      <c r="D65" s="87">
        <v>6096338</v>
      </c>
      <c r="E65" s="75">
        <v>2004</v>
      </c>
      <c r="F65" s="75">
        <f t="shared" si="0"/>
        <v>20</v>
      </c>
      <c r="G65" s="81">
        <v>3</v>
      </c>
      <c r="H65" s="76"/>
      <c r="I65" s="76"/>
      <c r="J65" s="77"/>
      <c r="K65" s="77"/>
    </row>
    <row r="66" spans="2:11" x14ac:dyDescent="0.25">
      <c r="B66" s="75" t="s">
        <v>187</v>
      </c>
      <c r="C66" s="75" t="s">
        <v>160</v>
      </c>
      <c r="D66" s="87">
        <v>6007248</v>
      </c>
      <c r="E66" s="75">
        <v>2008</v>
      </c>
      <c r="F66" s="75">
        <f t="shared" si="0"/>
        <v>16</v>
      </c>
      <c r="G66" s="81">
        <v>5</v>
      </c>
      <c r="H66" s="76"/>
      <c r="I66" s="76"/>
      <c r="J66" s="77"/>
      <c r="K66" s="77"/>
    </row>
    <row r="67" spans="2:11" x14ac:dyDescent="0.25">
      <c r="B67" s="75" t="s">
        <v>188</v>
      </c>
      <c r="C67" s="75" t="s">
        <v>160</v>
      </c>
      <c r="D67" s="87">
        <v>5804419</v>
      </c>
      <c r="E67" s="75">
        <v>2008</v>
      </c>
      <c r="F67" s="75">
        <f t="shared" si="0"/>
        <v>16</v>
      </c>
      <c r="G67" s="81">
        <v>5</v>
      </c>
      <c r="H67" s="76"/>
      <c r="I67" s="76"/>
      <c r="J67" s="77"/>
      <c r="K67" s="77"/>
    </row>
    <row r="68" spans="2:11" x14ac:dyDescent="0.25">
      <c r="B68" s="75" t="s">
        <v>189</v>
      </c>
      <c r="C68" s="75" t="s">
        <v>160</v>
      </c>
      <c r="D68" s="87">
        <v>5804419</v>
      </c>
      <c r="E68" s="75">
        <v>2008</v>
      </c>
      <c r="F68" s="75">
        <f t="shared" si="0"/>
        <v>16</v>
      </c>
      <c r="G68" s="81">
        <v>5</v>
      </c>
      <c r="H68" s="76"/>
      <c r="I68" s="76"/>
      <c r="J68" s="77"/>
      <c r="K68" s="77"/>
    </row>
    <row r="69" spans="2:11" x14ac:dyDescent="0.25">
      <c r="B69" s="75" t="s">
        <v>190</v>
      </c>
      <c r="C69" s="75" t="s">
        <v>85</v>
      </c>
      <c r="D69" s="87">
        <v>5298560</v>
      </c>
      <c r="E69" s="75">
        <v>2017</v>
      </c>
      <c r="F69" s="75">
        <f>2024-E69</f>
        <v>7</v>
      </c>
      <c r="G69" s="81">
        <v>29</v>
      </c>
      <c r="H69" s="76"/>
      <c r="I69" s="76"/>
      <c r="J69" s="77"/>
      <c r="K69" s="77"/>
    </row>
    <row r="70" spans="2:11" x14ac:dyDescent="0.25">
      <c r="B70" s="75" t="s">
        <v>191</v>
      </c>
      <c r="C70" s="75" t="s">
        <v>192</v>
      </c>
      <c r="D70" s="87">
        <v>5035958</v>
      </c>
      <c r="E70" s="75">
        <v>2018</v>
      </c>
      <c r="F70" s="75">
        <f>2024-E70</f>
        <v>6</v>
      </c>
      <c r="G70" s="81">
        <v>30</v>
      </c>
      <c r="H70" s="76"/>
      <c r="I70" s="76"/>
      <c r="J70" s="77"/>
      <c r="K70" s="77"/>
    </row>
    <row r="71" spans="2:11" x14ac:dyDescent="0.25">
      <c r="B71" s="75" t="s">
        <v>193</v>
      </c>
      <c r="C71" s="75" t="s">
        <v>194</v>
      </c>
      <c r="D71" s="87">
        <v>4758046</v>
      </c>
      <c r="E71" s="75">
        <v>2008</v>
      </c>
      <c r="F71" s="75">
        <f>2024-E71</f>
        <v>16</v>
      </c>
      <c r="G71" s="81">
        <v>20</v>
      </c>
      <c r="H71" s="76"/>
      <c r="I71" s="76"/>
      <c r="J71" s="77"/>
      <c r="K71" s="77"/>
    </row>
    <row r="72" spans="2:11" x14ac:dyDescent="0.25">
      <c r="B72" s="75" t="s">
        <v>195</v>
      </c>
      <c r="C72" s="75" t="s">
        <v>196</v>
      </c>
      <c r="D72" s="87">
        <v>4509930</v>
      </c>
      <c r="E72" s="75">
        <v>2006</v>
      </c>
      <c r="F72" s="75">
        <f>2024-E72</f>
        <v>18</v>
      </c>
      <c r="G72" s="81">
        <v>18</v>
      </c>
      <c r="H72" s="76"/>
      <c r="I72" s="76"/>
      <c r="J72" s="77"/>
      <c r="K72" s="77"/>
    </row>
    <row r="73" spans="2:11" x14ac:dyDescent="0.25">
      <c r="B73" s="75" t="s">
        <v>197</v>
      </c>
      <c r="C73" s="75" t="s">
        <v>198</v>
      </c>
      <c r="D73" s="87">
        <v>3870000</v>
      </c>
      <c r="E73" s="75">
        <v>2018</v>
      </c>
      <c r="F73" s="75">
        <f t="shared" ref="F73:F85" si="1">2024-E73</f>
        <v>6</v>
      </c>
      <c r="G73" s="81">
        <v>30</v>
      </c>
      <c r="H73" s="76"/>
      <c r="I73" s="76"/>
      <c r="J73" s="77"/>
      <c r="K73" s="77"/>
    </row>
    <row r="74" spans="2:11" x14ac:dyDescent="0.25">
      <c r="B74" s="75" t="s">
        <v>199</v>
      </c>
      <c r="C74" s="75" t="s">
        <v>200</v>
      </c>
      <c r="D74" s="87">
        <v>3584400</v>
      </c>
      <c r="E74" s="75">
        <v>2004</v>
      </c>
      <c r="F74" s="75">
        <f t="shared" si="1"/>
        <v>20</v>
      </c>
      <c r="G74" s="81">
        <v>16</v>
      </c>
      <c r="H74" s="76"/>
      <c r="I74" s="76"/>
      <c r="J74" s="77"/>
      <c r="K74" s="77"/>
    </row>
    <row r="75" spans="2:11" x14ac:dyDescent="0.25">
      <c r="B75" s="75" t="s">
        <v>201</v>
      </c>
      <c r="C75" s="75" t="s">
        <v>202</v>
      </c>
      <c r="D75" s="87">
        <v>3411361</v>
      </c>
      <c r="E75" s="75">
        <v>2004</v>
      </c>
      <c r="F75" s="75">
        <f t="shared" si="1"/>
        <v>20</v>
      </c>
      <c r="G75" s="81">
        <v>16</v>
      </c>
      <c r="H75" s="76"/>
      <c r="I75" s="76"/>
      <c r="J75" s="77"/>
      <c r="K75" s="77"/>
    </row>
    <row r="76" spans="2:11" x14ac:dyDescent="0.25">
      <c r="B76" s="75" t="s">
        <v>203</v>
      </c>
      <c r="C76" s="75" t="s">
        <v>198</v>
      </c>
      <c r="D76" s="87">
        <v>3331376</v>
      </c>
      <c r="E76" s="75">
        <v>2018</v>
      </c>
      <c r="F76" s="75">
        <f t="shared" si="1"/>
        <v>6</v>
      </c>
      <c r="G76" s="81">
        <v>30</v>
      </c>
      <c r="H76" s="76"/>
      <c r="I76" s="76"/>
      <c r="J76" s="77"/>
      <c r="K76" s="77"/>
    </row>
    <row r="77" spans="2:11" x14ac:dyDescent="0.25">
      <c r="B77" s="75" t="s">
        <v>204</v>
      </c>
      <c r="C77" s="75" t="s">
        <v>205</v>
      </c>
      <c r="D77" s="87">
        <v>3302501</v>
      </c>
      <c r="E77" s="75">
        <v>2004</v>
      </c>
      <c r="F77" s="75">
        <f t="shared" si="1"/>
        <v>20</v>
      </c>
      <c r="G77" s="81">
        <v>16</v>
      </c>
      <c r="H77" s="76"/>
      <c r="I77" s="76"/>
      <c r="J77" s="77"/>
      <c r="K77" s="77"/>
    </row>
    <row r="78" spans="2:11" x14ac:dyDescent="0.25">
      <c r="B78" s="75" t="s">
        <v>206</v>
      </c>
      <c r="C78" s="75" t="s">
        <v>207</v>
      </c>
      <c r="D78" s="87">
        <v>3212700</v>
      </c>
      <c r="E78" s="75">
        <v>2017</v>
      </c>
      <c r="F78" s="75">
        <f t="shared" si="1"/>
        <v>7</v>
      </c>
      <c r="G78" s="81">
        <v>29</v>
      </c>
      <c r="H78" s="76"/>
      <c r="I78" s="76"/>
      <c r="J78" s="77"/>
      <c r="K78" s="77"/>
    </row>
    <row r="79" spans="2:11" x14ac:dyDescent="0.25">
      <c r="B79" s="75" t="s">
        <v>208</v>
      </c>
      <c r="C79" s="75" t="s">
        <v>209</v>
      </c>
      <c r="D79" s="87">
        <v>3100000</v>
      </c>
      <c r="E79" s="75">
        <v>2019</v>
      </c>
      <c r="F79" s="75">
        <f t="shared" si="1"/>
        <v>5</v>
      </c>
      <c r="G79" s="81">
        <v>30</v>
      </c>
      <c r="H79" s="76"/>
      <c r="I79" s="76"/>
      <c r="J79" s="77"/>
      <c r="K79" s="77"/>
    </row>
    <row r="80" spans="2:11" x14ac:dyDescent="0.25">
      <c r="B80" s="75" t="s">
        <v>210</v>
      </c>
      <c r="C80" s="75" t="s">
        <v>160</v>
      </c>
      <c r="D80" s="87">
        <v>3041450</v>
      </c>
      <c r="E80" s="75">
        <v>2004</v>
      </c>
      <c r="F80" s="75">
        <f t="shared" si="1"/>
        <v>20</v>
      </c>
      <c r="G80" s="81">
        <v>3</v>
      </c>
      <c r="H80" s="76"/>
      <c r="I80" s="76"/>
      <c r="J80" s="77"/>
      <c r="K80" s="77"/>
    </row>
    <row r="81" spans="2:11" x14ac:dyDescent="0.25">
      <c r="B81" s="75" t="s">
        <v>211</v>
      </c>
      <c r="C81" s="75" t="s">
        <v>212</v>
      </c>
      <c r="D81" s="87">
        <v>2893470</v>
      </c>
      <c r="E81" s="75">
        <v>2017</v>
      </c>
      <c r="F81" s="75">
        <f t="shared" si="1"/>
        <v>7</v>
      </c>
      <c r="G81" s="81">
        <v>29</v>
      </c>
      <c r="H81" s="76"/>
      <c r="I81" s="76"/>
      <c r="J81" s="77"/>
      <c r="K81" s="77"/>
    </row>
    <row r="82" spans="2:11" ht="33" x14ac:dyDescent="0.25">
      <c r="B82" s="75" t="s">
        <v>213</v>
      </c>
      <c r="C82" s="75" t="s">
        <v>214</v>
      </c>
      <c r="D82" s="87">
        <v>2873625</v>
      </c>
      <c r="E82" s="75">
        <v>2019</v>
      </c>
      <c r="F82" s="75">
        <f t="shared" si="1"/>
        <v>5</v>
      </c>
      <c r="G82" s="81">
        <v>30</v>
      </c>
      <c r="H82" s="76"/>
      <c r="I82" s="76"/>
      <c r="J82" s="77"/>
      <c r="K82" s="77"/>
    </row>
    <row r="83" spans="2:11" x14ac:dyDescent="0.25">
      <c r="B83" s="75" t="s">
        <v>215</v>
      </c>
      <c r="C83" s="75" t="s">
        <v>216</v>
      </c>
      <c r="D83" s="87">
        <v>2827454</v>
      </c>
      <c r="E83" s="75">
        <v>2018</v>
      </c>
      <c r="F83" s="75">
        <f t="shared" si="1"/>
        <v>6</v>
      </c>
      <c r="G83" s="81">
        <v>30</v>
      </c>
      <c r="H83" s="76"/>
      <c r="I83" s="76"/>
      <c r="J83" s="77"/>
      <c r="K83" s="77"/>
    </row>
    <row r="84" spans="2:11" x14ac:dyDescent="0.25">
      <c r="B84" s="75" t="s">
        <v>217</v>
      </c>
      <c r="C84" s="75" t="s">
        <v>218</v>
      </c>
      <c r="D84" s="87">
        <v>2798137</v>
      </c>
      <c r="E84" s="75">
        <v>2007</v>
      </c>
      <c r="F84" s="75">
        <f t="shared" si="1"/>
        <v>17</v>
      </c>
      <c r="G84" s="81">
        <v>19</v>
      </c>
      <c r="H84" s="76"/>
      <c r="I84" s="76"/>
      <c r="J84" s="77"/>
      <c r="K84" s="77"/>
    </row>
    <row r="85" spans="2:11" x14ac:dyDescent="0.25">
      <c r="B85" s="75" t="s">
        <v>219</v>
      </c>
      <c r="C85" s="75" t="s">
        <v>160</v>
      </c>
      <c r="D85" s="87">
        <v>2785924</v>
      </c>
      <c r="E85" s="75">
        <v>2005</v>
      </c>
      <c r="F85" s="75">
        <f t="shared" si="1"/>
        <v>19</v>
      </c>
      <c r="G85" s="81">
        <v>3</v>
      </c>
      <c r="H85" s="76"/>
      <c r="I85" s="76"/>
      <c r="J85" s="77"/>
      <c r="K85" s="77"/>
    </row>
    <row r="86" spans="2:11" x14ac:dyDescent="0.25">
      <c r="B86" s="75" t="s">
        <v>220</v>
      </c>
      <c r="C86" s="75" t="s">
        <v>105</v>
      </c>
      <c r="D86" s="87">
        <v>2740500</v>
      </c>
      <c r="E86" s="75">
        <v>2019</v>
      </c>
      <c r="F86" s="75">
        <f>2024-E86</f>
        <v>5</v>
      </c>
      <c r="G86" s="81">
        <v>30</v>
      </c>
      <c r="H86" s="76"/>
      <c r="I86" s="76"/>
      <c r="J86" s="77"/>
      <c r="K86" s="77"/>
    </row>
    <row r="87" spans="2:11" x14ac:dyDescent="0.25">
      <c r="B87" s="75" t="s">
        <v>221</v>
      </c>
      <c r="C87" s="75" t="s">
        <v>221</v>
      </c>
      <c r="D87" s="87">
        <v>2721435</v>
      </c>
      <c r="E87" s="75">
        <v>2013</v>
      </c>
      <c r="F87" s="75">
        <f t="shared" ref="F87:F95" si="2">2024-E87</f>
        <v>11</v>
      </c>
      <c r="G87" s="81">
        <v>25</v>
      </c>
      <c r="H87" s="76"/>
      <c r="I87" s="76"/>
      <c r="J87" s="77"/>
      <c r="K87" s="77"/>
    </row>
    <row r="88" spans="2:11" x14ac:dyDescent="0.25">
      <c r="B88" s="75" t="s">
        <v>222</v>
      </c>
      <c r="C88" s="75" t="s">
        <v>223</v>
      </c>
      <c r="D88" s="87">
        <v>2668000</v>
      </c>
      <c r="E88" s="75">
        <v>2007</v>
      </c>
      <c r="F88" s="75">
        <f t="shared" si="2"/>
        <v>17</v>
      </c>
      <c r="G88" s="81">
        <v>4</v>
      </c>
      <c r="H88" s="76"/>
      <c r="I88" s="76"/>
      <c r="J88" s="77"/>
      <c r="K88" s="77"/>
    </row>
    <row r="89" spans="2:11" x14ac:dyDescent="0.25">
      <c r="B89" s="75" t="s">
        <v>224</v>
      </c>
      <c r="C89" s="75" t="s">
        <v>223</v>
      </c>
      <c r="D89" s="87">
        <v>2668000</v>
      </c>
      <c r="E89" s="75">
        <v>2007</v>
      </c>
      <c r="F89" s="75">
        <f t="shared" si="2"/>
        <v>17</v>
      </c>
      <c r="G89" s="81">
        <v>4</v>
      </c>
      <c r="H89" s="76"/>
      <c r="I89" s="76"/>
      <c r="J89" s="77"/>
      <c r="K89" s="77"/>
    </row>
    <row r="90" spans="2:11" x14ac:dyDescent="0.25">
      <c r="B90" s="75" t="s">
        <v>225</v>
      </c>
      <c r="C90" s="75" t="s">
        <v>160</v>
      </c>
      <c r="D90" s="87">
        <v>2645664</v>
      </c>
      <c r="E90" s="75">
        <v>2004</v>
      </c>
      <c r="F90" s="75">
        <f t="shared" si="2"/>
        <v>20</v>
      </c>
      <c r="G90" s="81">
        <v>3</v>
      </c>
      <c r="H90" s="76"/>
      <c r="I90" s="76"/>
      <c r="J90" s="77"/>
      <c r="K90" s="77"/>
    </row>
    <row r="91" spans="2:11" x14ac:dyDescent="0.25">
      <c r="B91" s="75" t="s">
        <v>226</v>
      </c>
      <c r="C91" s="75" t="s">
        <v>160</v>
      </c>
      <c r="D91" s="87">
        <v>2600914</v>
      </c>
      <c r="E91" s="75">
        <v>2004</v>
      </c>
      <c r="F91" s="75">
        <f t="shared" si="2"/>
        <v>20</v>
      </c>
      <c r="G91" s="81">
        <v>3</v>
      </c>
      <c r="H91" s="76"/>
      <c r="I91" s="76"/>
      <c r="J91" s="77"/>
      <c r="K91" s="77"/>
    </row>
    <row r="92" spans="2:11" x14ac:dyDescent="0.25">
      <c r="B92" s="75" t="s">
        <v>227</v>
      </c>
      <c r="C92" s="75" t="s">
        <v>228</v>
      </c>
      <c r="D92" s="87">
        <v>2556630</v>
      </c>
      <c r="E92" s="75">
        <v>2007</v>
      </c>
      <c r="F92" s="75">
        <f t="shared" si="2"/>
        <v>17</v>
      </c>
      <c r="G92" s="81">
        <v>19</v>
      </c>
      <c r="H92" s="76"/>
      <c r="I92" s="76"/>
      <c r="J92" s="77"/>
      <c r="K92" s="77"/>
    </row>
    <row r="93" spans="2:11" x14ac:dyDescent="0.25">
      <c r="B93" s="75" t="s">
        <v>229</v>
      </c>
      <c r="C93" s="75" t="s">
        <v>192</v>
      </c>
      <c r="D93" s="87">
        <v>2457921</v>
      </c>
      <c r="E93" s="75">
        <v>2018</v>
      </c>
      <c r="F93" s="75">
        <f t="shared" si="2"/>
        <v>6</v>
      </c>
      <c r="G93" s="81">
        <v>30</v>
      </c>
      <c r="H93" s="76"/>
      <c r="I93" s="76"/>
      <c r="J93" s="77"/>
      <c r="K93" s="77"/>
    </row>
    <row r="94" spans="2:11" x14ac:dyDescent="0.25">
      <c r="B94" s="75" t="s">
        <v>230</v>
      </c>
      <c r="C94" s="75" t="s">
        <v>160</v>
      </c>
      <c r="D94" s="87">
        <v>2454935</v>
      </c>
      <c r="E94" s="75">
        <v>2004</v>
      </c>
      <c r="F94" s="75">
        <f t="shared" si="2"/>
        <v>20</v>
      </c>
      <c r="G94" s="81">
        <v>3</v>
      </c>
      <c r="H94" s="76"/>
      <c r="I94" s="76"/>
      <c r="J94" s="77"/>
      <c r="K94" s="77"/>
    </row>
    <row r="95" spans="2:11" x14ac:dyDescent="0.25">
      <c r="B95" s="75" t="s">
        <v>231</v>
      </c>
      <c r="C95" s="75" t="s">
        <v>105</v>
      </c>
      <c r="D95" s="87">
        <v>2061239</v>
      </c>
      <c r="E95" s="75">
        <v>2019</v>
      </c>
      <c r="F95" s="75">
        <f t="shared" si="2"/>
        <v>5</v>
      </c>
      <c r="G95" s="81">
        <v>30</v>
      </c>
      <c r="H95" s="76"/>
      <c r="I95" s="76"/>
      <c r="J95" s="77"/>
      <c r="K95" s="77"/>
    </row>
    <row r="96" spans="2:11" x14ac:dyDescent="0.25">
      <c r="B96" s="75" t="s">
        <v>232</v>
      </c>
      <c r="C96" s="75" t="s">
        <v>160</v>
      </c>
      <c r="D96" s="87">
        <v>2052075</v>
      </c>
      <c r="E96" s="75">
        <v>2005</v>
      </c>
      <c r="F96" s="75">
        <f>2024-E96</f>
        <v>19</v>
      </c>
      <c r="G96" s="81">
        <v>3</v>
      </c>
      <c r="H96" s="76"/>
      <c r="I96" s="76"/>
      <c r="J96" s="77"/>
      <c r="K96" s="77"/>
    </row>
    <row r="97" spans="2:11" x14ac:dyDescent="0.25">
      <c r="B97" s="75" t="s">
        <v>233</v>
      </c>
      <c r="C97" s="75" t="s">
        <v>117</v>
      </c>
      <c r="D97" s="87">
        <v>1957839</v>
      </c>
      <c r="E97" s="75">
        <v>2005</v>
      </c>
      <c r="F97" s="75">
        <f t="shared" ref="F97:F106" si="3">2024-E97</f>
        <v>19</v>
      </c>
      <c r="G97" s="81">
        <v>3</v>
      </c>
      <c r="H97" s="76"/>
      <c r="I97" s="76"/>
      <c r="J97" s="77"/>
      <c r="K97" s="77"/>
    </row>
    <row r="98" spans="2:11" x14ac:dyDescent="0.25">
      <c r="B98" s="75" t="s">
        <v>234</v>
      </c>
      <c r="C98" s="75" t="s">
        <v>235</v>
      </c>
      <c r="D98" s="87">
        <v>1952160</v>
      </c>
      <c r="E98" s="75">
        <v>2018</v>
      </c>
      <c r="F98" s="75">
        <f t="shared" si="3"/>
        <v>6</v>
      </c>
      <c r="G98" s="81">
        <v>30</v>
      </c>
      <c r="H98" s="76"/>
      <c r="I98" s="76"/>
      <c r="J98" s="77"/>
      <c r="K98" s="77"/>
    </row>
    <row r="99" spans="2:11" x14ac:dyDescent="0.25">
      <c r="B99" s="75" t="s">
        <v>236</v>
      </c>
      <c r="C99" s="75" t="s">
        <v>127</v>
      </c>
      <c r="D99" s="87">
        <v>1945184</v>
      </c>
      <c r="E99" s="75">
        <v>2007</v>
      </c>
      <c r="F99" s="75">
        <f t="shared" si="3"/>
        <v>17</v>
      </c>
      <c r="G99" s="81">
        <v>4</v>
      </c>
      <c r="H99" s="76"/>
      <c r="I99" s="76"/>
      <c r="J99" s="77"/>
      <c r="K99" s="77"/>
    </row>
    <row r="100" spans="2:11" x14ac:dyDescent="0.25">
      <c r="B100" s="75" t="s">
        <v>237</v>
      </c>
      <c r="C100" s="75" t="s">
        <v>238</v>
      </c>
      <c r="D100" s="87">
        <v>1908092</v>
      </c>
      <c r="E100" s="75">
        <v>2005</v>
      </c>
      <c r="F100" s="75">
        <f t="shared" si="3"/>
        <v>19</v>
      </c>
      <c r="G100" s="81">
        <v>17</v>
      </c>
      <c r="H100" s="76"/>
      <c r="I100" s="76"/>
      <c r="J100" s="77"/>
      <c r="K100" s="77"/>
    </row>
    <row r="101" spans="2:11" ht="33" x14ac:dyDescent="0.25">
      <c r="B101" s="75" t="s">
        <v>239</v>
      </c>
      <c r="C101" s="75" t="s">
        <v>240</v>
      </c>
      <c r="D101" s="87">
        <v>1901000</v>
      </c>
      <c r="E101" s="75">
        <v>2016</v>
      </c>
      <c r="F101" s="75">
        <f t="shared" si="3"/>
        <v>8</v>
      </c>
      <c r="G101" s="81">
        <v>28</v>
      </c>
      <c r="H101" s="76"/>
      <c r="I101" s="76"/>
      <c r="J101" s="77"/>
      <c r="K101" s="77"/>
    </row>
    <row r="102" spans="2:11" x14ac:dyDescent="0.25">
      <c r="B102" s="75" t="s">
        <v>241</v>
      </c>
      <c r="C102" s="75" t="s">
        <v>242</v>
      </c>
      <c r="D102" s="87">
        <v>1891511</v>
      </c>
      <c r="E102" s="75">
        <v>2017</v>
      </c>
      <c r="F102" s="75">
        <f t="shared" si="3"/>
        <v>7</v>
      </c>
      <c r="G102" s="81">
        <v>14</v>
      </c>
      <c r="H102" s="76"/>
      <c r="I102" s="76"/>
      <c r="J102" s="77"/>
      <c r="K102" s="77"/>
    </row>
    <row r="103" spans="2:11" x14ac:dyDescent="0.25">
      <c r="B103" s="75" t="s">
        <v>243</v>
      </c>
      <c r="C103" s="75" t="s">
        <v>244</v>
      </c>
      <c r="D103" s="87">
        <v>1800000</v>
      </c>
      <c r="E103" s="75">
        <v>2018</v>
      </c>
      <c r="F103" s="75">
        <f t="shared" si="3"/>
        <v>6</v>
      </c>
      <c r="G103" s="81">
        <v>30</v>
      </c>
      <c r="H103" s="76"/>
      <c r="I103" s="76"/>
      <c r="J103" s="77"/>
      <c r="K103" s="77"/>
    </row>
    <row r="104" spans="2:11" x14ac:dyDescent="0.25">
      <c r="B104" s="75" t="s">
        <v>245</v>
      </c>
      <c r="C104" s="75" t="s">
        <v>246</v>
      </c>
      <c r="D104" s="87">
        <v>1790365</v>
      </c>
      <c r="E104" s="75">
        <v>2005</v>
      </c>
      <c r="F104" s="75">
        <f t="shared" si="3"/>
        <v>19</v>
      </c>
      <c r="G104" s="81">
        <v>17</v>
      </c>
      <c r="H104" s="76"/>
      <c r="I104" s="76"/>
      <c r="J104" s="77"/>
      <c r="K104" s="77"/>
    </row>
    <row r="105" spans="2:11" x14ac:dyDescent="0.25">
      <c r="B105" s="75" t="s">
        <v>247</v>
      </c>
      <c r="C105" s="75" t="s">
        <v>160</v>
      </c>
      <c r="D105" s="87">
        <v>1760185</v>
      </c>
      <c r="E105" s="75">
        <v>2005</v>
      </c>
      <c r="F105" s="75">
        <f t="shared" si="3"/>
        <v>19</v>
      </c>
      <c r="G105" s="81">
        <v>3</v>
      </c>
      <c r="H105" s="76"/>
      <c r="I105" s="76"/>
      <c r="J105" s="77"/>
      <c r="K105" s="77"/>
    </row>
    <row r="106" spans="2:11" x14ac:dyDescent="0.25">
      <c r="B106" s="75" t="s">
        <v>248</v>
      </c>
      <c r="C106" s="75" t="s">
        <v>249</v>
      </c>
      <c r="D106" s="87">
        <v>1694825</v>
      </c>
      <c r="E106" s="75">
        <v>2016</v>
      </c>
      <c r="F106" s="75">
        <f t="shared" si="3"/>
        <v>8</v>
      </c>
      <c r="G106" s="81">
        <v>28</v>
      </c>
      <c r="H106" s="76"/>
      <c r="I106" s="76"/>
      <c r="J106" s="77"/>
      <c r="K106" s="77"/>
    </row>
    <row r="107" spans="2:11" ht="33" x14ac:dyDescent="0.25">
      <c r="B107" s="75" t="s">
        <v>250</v>
      </c>
      <c r="C107" s="75" t="s">
        <v>103</v>
      </c>
      <c r="D107" s="87">
        <v>1688465</v>
      </c>
      <c r="E107" s="75">
        <v>2018</v>
      </c>
      <c r="F107" s="75">
        <f>2024-E107</f>
        <v>6</v>
      </c>
      <c r="G107" s="81">
        <v>30</v>
      </c>
      <c r="H107" s="76"/>
      <c r="I107" s="76"/>
      <c r="J107" s="77"/>
      <c r="K107" s="77"/>
    </row>
    <row r="108" spans="2:11" x14ac:dyDescent="0.25">
      <c r="B108" s="75" t="s">
        <v>251</v>
      </c>
      <c r="C108" s="75" t="s">
        <v>160</v>
      </c>
      <c r="D108" s="87">
        <v>1685000</v>
      </c>
      <c r="E108" s="75">
        <v>2008</v>
      </c>
      <c r="F108" s="75">
        <f t="shared" ref="F108:F114" si="4">2024-E108</f>
        <v>16</v>
      </c>
      <c r="G108" s="81">
        <v>5</v>
      </c>
      <c r="H108" s="76"/>
      <c r="I108" s="76"/>
      <c r="J108" s="77"/>
      <c r="K108" s="77"/>
    </row>
    <row r="109" spans="2:11" x14ac:dyDescent="0.25">
      <c r="B109" s="75" t="s">
        <v>252</v>
      </c>
      <c r="C109" s="75" t="s">
        <v>160</v>
      </c>
      <c r="D109" s="87">
        <v>1653763</v>
      </c>
      <c r="E109" s="75">
        <v>2005</v>
      </c>
      <c r="F109" s="75">
        <f t="shared" si="4"/>
        <v>19</v>
      </c>
      <c r="G109" s="81">
        <v>3</v>
      </c>
      <c r="H109" s="76"/>
      <c r="I109" s="76"/>
      <c r="J109" s="77"/>
      <c r="K109" s="77"/>
    </row>
    <row r="110" spans="2:11" x14ac:dyDescent="0.25">
      <c r="B110" s="75" t="s">
        <v>253</v>
      </c>
      <c r="C110" s="75" t="s">
        <v>123</v>
      </c>
      <c r="D110" s="87">
        <v>1636821</v>
      </c>
      <c r="E110" s="75">
        <v>2006</v>
      </c>
      <c r="F110" s="75">
        <f t="shared" si="4"/>
        <v>18</v>
      </c>
      <c r="G110" s="81">
        <v>18</v>
      </c>
      <c r="H110" s="76"/>
      <c r="I110" s="76"/>
      <c r="J110" s="77"/>
      <c r="K110" s="77"/>
    </row>
    <row r="111" spans="2:11" x14ac:dyDescent="0.25">
      <c r="B111" s="75" t="s">
        <v>254</v>
      </c>
      <c r="C111" s="75" t="s">
        <v>255</v>
      </c>
      <c r="D111" s="87">
        <v>1600000</v>
      </c>
      <c r="E111" s="75">
        <v>2006</v>
      </c>
      <c r="F111" s="75">
        <f t="shared" si="4"/>
        <v>18</v>
      </c>
      <c r="G111" s="81">
        <v>18</v>
      </c>
      <c r="H111" s="76"/>
      <c r="I111" s="76"/>
      <c r="J111" s="77"/>
      <c r="K111" s="77"/>
    </row>
    <row r="112" spans="2:11" x14ac:dyDescent="0.25">
      <c r="B112" s="75" t="s">
        <v>256</v>
      </c>
      <c r="C112" s="75" t="s">
        <v>257</v>
      </c>
      <c r="D112" s="87">
        <v>1500000</v>
      </c>
      <c r="E112" s="75">
        <v>2020</v>
      </c>
      <c r="F112" s="75">
        <f t="shared" si="4"/>
        <v>4</v>
      </c>
      <c r="G112" s="81">
        <v>17</v>
      </c>
      <c r="H112" s="76"/>
      <c r="I112" s="76"/>
      <c r="J112" s="77"/>
      <c r="K112" s="77"/>
    </row>
    <row r="113" spans="2:11" x14ac:dyDescent="0.25">
      <c r="B113" s="75" t="s">
        <v>258</v>
      </c>
      <c r="C113" s="75" t="s">
        <v>259</v>
      </c>
      <c r="D113" s="87">
        <v>1489330</v>
      </c>
      <c r="E113" s="75">
        <v>2006</v>
      </c>
      <c r="F113" s="75">
        <f t="shared" si="4"/>
        <v>18</v>
      </c>
      <c r="G113" s="81">
        <v>18</v>
      </c>
      <c r="H113" s="76"/>
      <c r="I113" s="76"/>
      <c r="J113" s="77"/>
      <c r="K113" s="77"/>
    </row>
    <row r="114" spans="2:11" ht="33" x14ac:dyDescent="0.25">
      <c r="B114" s="75" t="s">
        <v>260</v>
      </c>
      <c r="C114" s="75" t="s">
        <v>261</v>
      </c>
      <c r="D114" s="87">
        <v>1474200</v>
      </c>
      <c r="E114" s="75">
        <v>2018</v>
      </c>
      <c r="F114" s="75">
        <f t="shared" si="4"/>
        <v>6</v>
      </c>
      <c r="G114" s="81">
        <v>15</v>
      </c>
      <c r="H114" s="76"/>
      <c r="I114" s="76"/>
      <c r="J114" s="77"/>
      <c r="K114" s="77"/>
    </row>
    <row r="115" spans="2:11" x14ac:dyDescent="0.25">
      <c r="B115" s="75" t="s">
        <v>262</v>
      </c>
      <c r="C115" s="75" t="s">
        <v>263</v>
      </c>
      <c r="D115" s="87">
        <v>1431113</v>
      </c>
      <c r="E115" s="75">
        <v>2005</v>
      </c>
      <c r="F115" s="75">
        <f>2024-E115</f>
        <v>19</v>
      </c>
      <c r="G115" s="81">
        <v>3</v>
      </c>
      <c r="H115" s="76"/>
      <c r="I115" s="76"/>
      <c r="J115" s="77"/>
      <c r="K115" s="77"/>
    </row>
    <row r="116" spans="2:11" x14ac:dyDescent="0.25">
      <c r="B116" s="75" t="s">
        <v>264</v>
      </c>
      <c r="C116" s="75" t="s">
        <v>265</v>
      </c>
      <c r="D116" s="87">
        <v>1423030</v>
      </c>
      <c r="E116" s="75">
        <v>2005</v>
      </c>
      <c r="F116" s="75">
        <f t="shared" ref="F116:F126" si="5">2024-E116</f>
        <v>19</v>
      </c>
      <c r="G116" s="81">
        <v>17</v>
      </c>
      <c r="H116" s="76"/>
      <c r="I116" s="76"/>
      <c r="J116" s="77"/>
      <c r="K116" s="77"/>
    </row>
    <row r="117" spans="2:11" x14ac:dyDescent="0.25">
      <c r="B117" s="75" t="s">
        <v>266</v>
      </c>
      <c r="C117" s="75" t="s">
        <v>267</v>
      </c>
      <c r="D117" s="87">
        <v>1402698</v>
      </c>
      <c r="E117" s="75">
        <v>2004</v>
      </c>
      <c r="F117" s="75">
        <f t="shared" si="5"/>
        <v>20</v>
      </c>
      <c r="G117" s="81">
        <v>3</v>
      </c>
      <c r="H117" s="76"/>
      <c r="I117" s="76"/>
      <c r="J117" s="77"/>
      <c r="K117" s="77"/>
    </row>
    <row r="118" spans="2:11" x14ac:dyDescent="0.25">
      <c r="B118" s="75" t="s">
        <v>268</v>
      </c>
      <c r="C118" s="75" t="s">
        <v>269</v>
      </c>
      <c r="D118" s="87">
        <v>1385661</v>
      </c>
      <c r="E118" s="75">
        <v>2019</v>
      </c>
      <c r="F118" s="75">
        <f t="shared" si="5"/>
        <v>5</v>
      </c>
      <c r="G118" s="81">
        <v>15</v>
      </c>
      <c r="H118" s="76"/>
      <c r="I118" s="76"/>
      <c r="J118" s="77"/>
      <c r="K118" s="77"/>
    </row>
    <row r="119" spans="2:11" x14ac:dyDescent="0.25">
      <c r="B119" s="75" t="s">
        <v>270</v>
      </c>
      <c r="C119" s="75" t="s">
        <v>270</v>
      </c>
      <c r="D119" s="87">
        <v>1374559</v>
      </c>
      <c r="E119" s="75">
        <v>2006</v>
      </c>
      <c r="F119" s="75">
        <f t="shared" si="5"/>
        <v>18</v>
      </c>
      <c r="G119" s="81">
        <v>3</v>
      </c>
      <c r="H119" s="76"/>
      <c r="I119" s="76"/>
      <c r="J119" s="77"/>
      <c r="K119" s="77"/>
    </row>
    <row r="120" spans="2:11" x14ac:dyDescent="0.25">
      <c r="B120" s="75" t="s">
        <v>271</v>
      </c>
      <c r="C120" s="75" t="s">
        <v>272</v>
      </c>
      <c r="D120" s="87">
        <v>1335315</v>
      </c>
      <c r="E120" s="75">
        <v>2016</v>
      </c>
      <c r="F120" s="75">
        <f t="shared" si="5"/>
        <v>8</v>
      </c>
      <c r="G120" s="81">
        <v>28</v>
      </c>
      <c r="H120" s="76"/>
      <c r="I120" s="76"/>
      <c r="J120" s="77"/>
      <c r="K120" s="77"/>
    </row>
    <row r="121" spans="2:11" ht="33" x14ac:dyDescent="0.25">
      <c r="B121" s="75" t="s">
        <v>273</v>
      </c>
      <c r="C121" s="75" t="s">
        <v>274</v>
      </c>
      <c r="D121" s="87">
        <v>1216578</v>
      </c>
      <c r="E121" s="75">
        <v>2008</v>
      </c>
      <c r="F121" s="75">
        <f t="shared" si="5"/>
        <v>16</v>
      </c>
      <c r="G121" s="81">
        <v>5</v>
      </c>
      <c r="H121" s="76"/>
      <c r="I121" s="76"/>
      <c r="J121" s="77"/>
      <c r="K121" s="77"/>
    </row>
    <row r="122" spans="2:11" x14ac:dyDescent="0.25">
      <c r="B122" s="75" t="s">
        <v>275</v>
      </c>
      <c r="C122" s="75" t="s">
        <v>267</v>
      </c>
      <c r="D122" s="87">
        <v>1174639</v>
      </c>
      <c r="E122" s="75">
        <v>2004</v>
      </c>
      <c r="F122" s="75">
        <f t="shared" si="5"/>
        <v>20</v>
      </c>
      <c r="G122" s="81">
        <v>3</v>
      </c>
      <c r="H122" s="76"/>
      <c r="I122" s="76"/>
      <c r="J122" s="77"/>
      <c r="K122" s="77"/>
    </row>
    <row r="123" spans="2:11" x14ac:dyDescent="0.25">
      <c r="B123" s="75" t="s">
        <v>276</v>
      </c>
      <c r="C123" s="75" t="s">
        <v>277</v>
      </c>
      <c r="D123" s="87">
        <v>1114877</v>
      </c>
      <c r="E123" s="75">
        <v>2004</v>
      </c>
      <c r="F123" s="75">
        <f t="shared" si="5"/>
        <v>20</v>
      </c>
      <c r="G123" s="81">
        <v>3</v>
      </c>
      <c r="H123" s="76"/>
      <c r="I123" s="76"/>
      <c r="J123" s="77"/>
      <c r="K123" s="77"/>
    </row>
    <row r="124" spans="2:11" x14ac:dyDescent="0.25">
      <c r="B124" s="75" t="s">
        <v>278</v>
      </c>
      <c r="C124" s="75" t="s">
        <v>279</v>
      </c>
      <c r="D124" s="87">
        <v>1101250</v>
      </c>
      <c r="E124" s="75">
        <v>2018</v>
      </c>
      <c r="F124" s="75">
        <f t="shared" si="5"/>
        <v>6</v>
      </c>
      <c r="G124" s="81">
        <v>10</v>
      </c>
      <c r="H124" s="76"/>
      <c r="I124" s="76"/>
      <c r="J124" s="77"/>
      <c r="K124" s="77"/>
    </row>
    <row r="125" spans="2:11" x14ac:dyDescent="0.25">
      <c r="B125" s="75" t="s">
        <v>280</v>
      </c>
      <c r="C125" s="75" t="s">
        <v>281</v>
      </c>
      <c r="D125" s="87">
        <v>1077782</v>
      </c>
      <c r="E125" s="75">
        <v>2007</v>
      </c>
      <c r="F125" s="75">
        <f t="shared" si="5"/>
        <v>17</v>
      </c>
      <c r="G125" s="81">
        <v>19</v>
      </c>
      <c r="H125" s="76"/>
      <c r="I125" s="76"/>
      <c r="J125" s="77"/>
      <c r="K125" s="77"/>
    </row>
    <row r="126" spans="2:11" x14ac:dyDescent="0.25">
      <c r="B126" s="75" t="s">
        <v>282</v>
      </c>
      <c r="C126" s="75" t="s">
        <v>267</v>
      </c>
      <c r="D126" s="87">
        <v>1062102</v>
      </c>
      <c r="E126" s="75">
        <v>2004</v>
      </c>
      <c r="F126" s="75">
        <f t="shared" si="5"/>
        <v>20</v>
      </c>
      <c r="G126" s="81">
        <v>3</v>
      </c>
      <c r="H126" s="76"/>
      <c r="I126" s="76"/>
      <c r="J126" s="77"/>
      <c r="K126" s="77"/>
    </row>
    <row r="127" spans="2:11" x14ac:dyDescent="0.25">
      <c r="B127" s="75" t="s">
        <v>283</v>
      </c>
      <c r="C127" s="75" t="s">
        <v>202</v>
      </c>
      <c r="D127" s="87">
        <v>999434</v>
      </c>
      <c r="E127" s="75">
        <v>2005</v>
      </c>
      <c r="F127" s="75">
        <f>2024-E127</f>
        <v>19</v>
      </c>
      <c r="G127" s="81">
        <v>3</v>
      </c>
      <c r="H127" s="76"/>
      <c r="I127" s="76"/>
      <c r="J127" s="77"/>
      <c r="K127" s="77"/>
    </row>
    <row r="128" spans="2:11" x14ac:dyDescent="0.25">
      <c r="B128" s="75" t="s">
        <v>284</v>
      </c>
      <c r="C128" s="75" t="s">
        <v>160</v>
      </c>
      <c r="D128" s="87">
        <v>988155</v>
      </c>
      <c r="E128" s="75">
        <v>2005</v>
      </c>
      <c r="F128" s="75">
        <f t="shared" ref="F128:F138" si="6">2024-E128</f>
        <v>19</v>
      </c>
      <c r="G128" s="81">
        <v>3</v>
      </c>
      <c r="H128" s="76"/>
      <c r="I128" s="76"/>
      <c r="J128" s="77"/>
      <c r="K128" s="77"/>
    </row>
    <row r="129" spans="2:11" x14ac:dyDescent="0.25">
      <c r="B129" s="75" t="s">
        <v>285</v>
      </c>
      <c r="C129" s="75" t="s">
        <v>113</v>
      </c>
      <c r="D129" s="87">
        <v>972801</v>
      </c>
      <c r="E129" s="75">
        <v>2016</v>
      </c>
      <c r="F129" s="75">
        <f t="shared" si="6"/>
        <v>8</v>
      </c>
      <c r="G129" s="81">
        <v>13</v>
      </c>
      <c r="H129" s="76"/>
      <c r="I129" s="76"/>
      <c r="J129" s="77"/>
      <c r="K129" s="77"/>
    </row>
    <row r="130" spans="2:11" x14ac:dyDescent="0.25">
      <c r="B130" s="75" t="s">
        <v>286</v>
      </c>
      <c r="C130" s="75" t="s">
        <v>287</v>
      </c>
      <c r="D130" s="87">
        <v>965781</v>
      </c>
      <c r="E130" s="75">
        <v>2018</v>
      </c>
      <c r="F130" s="75">
        <f t="shared" si="6"/>
        <v>6</v>
      </c>
      <c r="G130" s="81">
        <v>15</v>
      </c>
      <c r="H130" s="76"/>
      <c r="I130" s="76"/>
      <c r="J130" s="77"/>
      <c r="K130" s="77"/>
    </row>
    <row r="131" spans="2:11" x14ac:dyDescent="0.25">
      <c r="B131" s="75" t="s">
        <v>288</v>
      </c>
      <c r="C131" s="75" t="s">
        <v>267</v>
      </c>
      <c r="D131" s="87">
        <v>965000</v>
      </c>
      <c r="E131" s="75">
        <v>2008</v>
      </c>
      <c r="F131" s="75">
        <f t="shared" si="6"/>
        <v>16</v>
      </c>
      <c r="G131" s="81">
        <v>5</v>
      </c>
      <c r="H131" s="76"/>
      <c r="I131" s="76"/>
      <c r="J131" s="77"/>
      <c r="K131" s="77"/>
    </row>
    <row r="132" spans="2:11" x14ac:dyDescent="0.25">
      <c r="B132" s="75" t="s">
        <v>289</v>
      </c>
      <c r="C132" s="75" t="s">
        <v>290</v>
      </c>
      <c r="D132" s="87">
        <v>948962</v>
      </c>
      <c r="E132" s="75">
        <v>2016</v>
      </c>
      <c r="F132" s="75">
        <f t="shared" si="6"/>
        <v>8</v>
      </c>
      <c r="G132" s="81">
        <v>13</v>
      </c>
      <c r="H132" s="76"/>
      <c r="I132" s="76"/>
      <c r="J132" s="77"/>
      <c r="K132" s="77"/>
    </row>
    <row r="133" spans="2:11" x14ac:dyDescent="0.25">
      <c r="B133" s="75" t="s">
        <v>291</v>
      </c>
      <c r="C133" s="75" t="s">
        <v>198</v>
      </c>
      <c r="D133" s="87">
        <v>928763</v>
      </c>
      <c r="E133" s="75">
        <v>2004</v>
      </c>
      <c r="F133" s="75">
        <f t="shared" si="6"/>
        <v>20</v>
      </c>
      <c r="G133" s="81">
        <v>3</v>
      </c>
      <c r="H133" s="76"/>
      <c r="I133" s="76"/>
      <c r="J133" s="77"/>
      <c r="K133" s="77"/>
    </row>
    <row r="134" spans="2:11" x14ac:dyDescent="0.25">
      <c r="B134" s="75" t="s">
        <v>292</v>
      </c>
      <c r="C134" s="75" t="s">
        <v>293</v>
      </c>
      <c r="D134" s="87">
        <v>863152</v>
      </c>
      <c r="E134" s="75">
        <v>2017</v>
      </c>
      <c r="F134" s="75">
        <f t="shared" si="6"/>
        <v>7</v>
      </c>
      <c r="G134" s="81">
        <v>14</v>
      </c>
      <c r="H134" s="76"/>
      <c r="I134" s="76"/>
      <c r="J134" s="77"/>
      <c r="K134" s="77"/>
    </row>
    <row r="135" spans="2:11" x14ac:dyDescent="0.25">
      <c r="B135" s="75" t="s">
        <v>294</v>
      </c>
      <c r="C135" s="75" t="s">
        <v>157</v>
      </c>
      <c r="D135" s="87">
        <v>852479</v>
      </c>
      <c r="E135" s="75">
        <v>2016</v>
      </c>
      <c r="F135" s="75">
        <f t="shared" si="6"/>
        <v>8</v>
      </c>
      <c r="G135" s="81">
        <v>28</v>
      </c>
      <c r="H135" s="76"/>
      <c r="I135" s="76"/>
      <c r="J135" s="77"/>
      <c r="K135" s="77"/>
    </row>
    <row r="136" spans="2:11" ht="33" x14ac:dyDescent="0.25">
      <c r="B136" s="75" t="s">
        <v>295</v>
      </c>
      <c r="C136" s="75" t="s">
        <v>296</v>
      </c>
      <c r="D136" s="87">
        <v>846616</v>
      </c>
      <c r="E136" s="75">
        <v>2005</v>
      </c>
      <c r="F136" s="75">
        <f t="shared" si="6"/>
        <v>19</v>
      </c>
      <c r="G136" s="81">
        <v>3</v>
      </c>
      <c r="H136" s="76"/>
      <c r="I136" s="76"/>
      <c r="J136" s="77"/>
      <c r="K136" s="77"/>
    </row>
    <row r="137" spans="2:11" x14ac:dyDescent="0.25">
      <c r="B137" s="75" t="s">
        <v>297</v>
      </c>
      <c r="C137" s="75" t="s">
        <v>198</v>
      </c>
      <c r="D137" s="87">
        <v>815135</v>
      </c>
      <c r="E137" s="75">
        <v>2004</v>
      </c>
      <c r="F137" s="75">
        <f t="shared" si="6"/>
        <v>20</v>
      </c>
      <c r="G137" s="81">
        <v>3</v>
      </c>
      <c r="H137" s="76"/>
      <c r="I137" s="76"/>
      <c r="J137" s="77"/>
      <c r="K137" s="77"/>
    </row>
    <row r="138" spans="2:11" ht="49.5" x14ac:dyDescent="0.25">
      <c r="B138" s="75" t="s">
        <v>298</v>
      </c>
      <c r="C138" s="75" t="s">
        <v>299</v>
      </c>
      <c r="D138" s="87">
        <v>768203</v>
      </c>
      <c r="E138" s="75">
        <v>2018</v>
      </c>
      <c r="F138" s="75">
        <f t="shared" si="6"/>
        <v>6</v>
      </c>
      <c r="G138" s="81">
        <v>10</v>
      </c>
      <c r="H138" s="76"/>
      <c r="I138" s="76"/>
      <c r="J138" s="77"/>
      <c r="K138" s="77"/>
    </row>
    <row r="139" spans="2:11" x14ac:dyDescent="0.25">
      <c r="B139" s="75" t="s">
        <v>300</v>
      </c>
      <c r="C139" s="75" t="s">
        <v>301</v>
      </c>
      <c r="D139" s="87">
        <v>732408</v>
      </c>
      <c r="E139" s="75">
        <v>2015</v>
      </c>
      <c r="F139" s="75">
        <f>2024-E139</f>
        <v>9</v>
      </c>
      <c r="G139" s="81">
        <v>7</v>
      </c>
      <c r="H139" s="76"/>
      <c r="I139" s="76"/>
      <c r="J139" s="77"/>
      <c r="K139" s="77"/>
    </row>
    <row r="140" spans="2:11" x14ac:dyDescent="0.25">
      <c r="B140" s="75" t="s">
        <v>302</v>
      </c>
      <c r="C140" s="75" t="s">
        <v>303</v>
      </c>
      <c r="D140" s="87">
        <v>684497</v>
      </c>
      <c r="E140" s="75">
        <v>2008</v>
      </c>
      <c r="F140" s="75">
        <f t="shared" ref="F140:F148" si="7">2024-E140</f>
        <v>16</v>
      </c>
      <c r="G140" s="81">
        <v>20</v>
      </c>
      <c r="H140" s="76"/>
      <c r="I140" s="76"/>
      <c r="J140" s="77"/>
      <c r="K140" s="77"/>
    </row>
    <row r="141" spans="2:11" x14ac:dyDescent="0.25">
      <c r="B141" s="75" t="s">
        <v>304</v>
      </c>
      <c r="C141" s="75" t="s">
        <v>305</v>
      </c>
      <c r="D141" s="87">
        <v>680243</v>
      </c>
      <c r="E141" s="75">
        <v>2005</v>
      </c>
      <c r="F141" s="75">
        <f t="shared" si="7"/>
        <v>19</v>
      </c>
      <c r="G141" s="81">
        <v>3</v>
      </c>
      <c r="H141" s="76"/>
      <c r="I141" s="76"/>
      <c r="J141" s="77"/>
      <c r="K141" s="77"/>
    </row>
    <row r="142" spans="2:11" ht="33" x14ac:dyDescent="0.25">
      <c r="B142" s="75" t="s">
        <v>306</v>
      </c>
      <c r="C142" s="75" t="s">
        <v>307</v>
      </c>
      <c r="D142" s="87">
        <v>654624</v>
      </c>
      <c r="E142" s="75">
        <v>2018</v>
      </c>
      <c r="F142" s="75">
        <f t="shared" si="7"/>
        <v>6</v>
      </c>
      <c r="G142" s="81">
        <v>10</v>
      </c>
      <c r="H142" s="76"/>
      <c r="I142" s="76"/>
      <c r="J142" s="77"/>
      <c r="K142" s="77"/>
    </row>
    <row r="143" spans="2:11" x14ac:dyDescent="0.25">
      <c r="B143" s="75" t="s">
        <v>308</v>
      </c>
      <c r="C143" s="75" t="s">
        <v>123</v>
      </c>
      <c r="D143" s="87">
        <v>650000</v>
      </c>
      <c r="E143" s="75">
        <v>2019</v>
      </c>
      <c r="F143" s="75">
        <f t="shared" si="7"/>
        <v>5</v>
      </c>
      <c r="G143" s="81">
        <v>30</v>
      </c>
      <c r="H143" s="76"/>
      <c r="I143" s="76"/>
      <c r="J143" s="77"/>
      <c r="K143" s="77"/>
    </row>
    <row r="144" spans="2:11" x14ac:dyDescent="0.25">
      <c r="B144" s="75" t="s">
        <v>309</v>
      </c>
      <c r="C144" s="75" t="s">
        <v>202</v>
      </c>
      <c r="D144" s="87">
        <v>629498</v>
      </c>
      <c r="E144" s="75">
        <v>2008</v>
      </c>
      <c r="F144" s="75">
        <f t="shared" si="7"/>
        <v>16</v>
      </c>
      <c r="G144" s="81">
        <v>3</v>
      </c>
      <c r="H144" s="76"/>
      <c r="I144" s="76"/>
      <c r="J144" s="77"/>
      <c r="K144" s="77"/>
    </row>
    <row r="145" spans="2:11" x14ac:dyDescent="0.25">
      <c r="B145" s="75" t="s">
        <v>310</v>
      </c>
      <c r="C145" s="75" t="s">
        <v>311</v>
      </c>
      <c r="D145" s="87">
        <v>604953</v>
      </c>
      <c r="E145" s="75">
        <v>2018</v>
      </c>
      <c r="F145" s="75">
        <f t="shared" si="7"/>
        <v>6</v>
      </c>
      <c r="G145" s="81">
        <v>10</v>
      </c>
      <c r="H145" s="76"/>
      <c r="I145" s="76"/>
      <c r="J145" s="77"/>
      <c r="K145" s="77"/>
    </row>
    <row r="146" spans="2:11" x14ac:dyDescent="0.25">
      <c r="B146" s="75" t="s">
        <v>312</v>
      </c>
      <c r="C146" s="75" t="s">
        <v>313</v>
      </c>
      <c r="D146" s="87">
        <v>566610</v>
      </c>
      <c r="E146" s="75">
        <v>2004</v>
      </c>
      <c r="F146" s="75">
        <f t="shared" si="7"/>
        <v>20</v>
      </c>
      <c r="G146" s="81">
        <v>3</v>
      </c>
      <c r="H146" s="76"/>
      <c r="I146" s="76"/>
      <c r="J146" s="77"/>
      <c r="K146" s="77"/>
    </row>
    <row r="147" spans="2:11" x14ac:dyDescent="0.25">
      <c r="B147" s="75" t="s">
        <v>314</v>
      </c>
      <c r="C147" s="75" t="s">
        <v>315</v>
      </c>
      <c r="D147" s="87">
        <v>535055</v>
      </c>
      <c r="E147" s="75">
        <v>2019</v>
      </c>
      <c r="F147" s="75">
        <f t="shared" si="7"/>
        <v>5</v>
      </c>
      <c r="G147" s="81">
        <v>10</v>
      </c>
      <c r="H147" s="76"/>
      <c r="I147" s="76"/>
      <c r="J147" s="77"/>
      <c r="K147" s="77"/>
    </row>
    <row r="148" spans="2:11" x14ac:dyDescent="0.25">
      <c r="B148" s="75" t="s">
        <v>316</v>
      </c>
      <c r="C148" s="75" t="s">
        <v>317</v>
      </c>
      <c r="D148" s="87">
        <v>519497</v>
      </c>
      <c r="E148" s="75">
        <v>2016</v>
      </c>
      <c r="F148" s="75">
        <f t="shared" si="7"/>
        <v>8</v>
      </c>
      <c r="G148" s="81">
        <v>8</v>
      </c>
      <c r="H148" s="76"/>
      <c r="I148" s="76"/>
      <c r="J148" s="77"/>
      <c r="K148" s="77"/>
    </row>
    <row r="149" spans="2:11" x14ac:dyDescent="0.25">
      <c r="B149" s="75" t="s">
        <v>318</v>
      </c>
      <c r="C149" s="75" t="s">
        <v>319</v>
      </c>
      <c r="D149" s="87">
        <v>494624</v>
      </c>
      <c r="E149" s="75">
        <v>2016</v>
      </c>
      <c r="F149" s="75">
        <f>2024-E149</f>
        <v>8</v>
      </c>
      <c r="G149" s="81">
        <v>8</v>
      </c>
      <c r="H149" s="76"/>
      <c r="I149" s="76"/>
      <c r="J149" s="77"/>
      <c r="K149" s="77"/>
    </row>
    <row r="150" spans="2:11" ht="33" x14ac:dyDescent="0.25">
      <c r="B150" s="75" t="s">
        <v>320</v>
      </c>
      <c r="C150" s="75" t="s">
        <v>321</v>
      </c>
      <c r="D150" s="87">
        <v>442795</v>
      </c>
      <c r="E150" s="75">
        <v>2018</v>
      </c>
      <c r="F150" s="75">
        <f>2024-E150</f>
        <v>6</v>
      </c>
      <c r="G150" s="81">
        <v>10</v>
      </c>
      <c r="H150" s="76"/>
      <c r="I150" s="76"/>
      <c r="J150" s="77"/>
      <c r="K150" s="77"/>
    </row>
    <row r="151" spans="2:11" x14ac:dyDescent="0.25">
      <c r="B151" s="75" t="s">
        <v>322</v>
      </c>
      <c r="C151" s="75" t="s">
        <v>157</v>
      </c>
      <c r="D151" s="87">
        <v>433964</v>
      </c>
      <c r="E151" s="75">
        <v>2005</v>
      </c>
      <c r="F151" s="75">
        <f>2024-E151</f>
        <v>19</v>
      </c>
      <c r="G151" s="81">
        <v>3</v>
      </c>
      <c r="H151" s="76"/>
      <c r="I151" s="76"/>
      <c r="J151" s="77"/>
      <c r="K151" s="77"/>
    </row>
    <row r="152" spans="2:11" x14ac:dyDescent="0.25">
      <c r="B152" s="75" t="s">
        <v>323</v>
      </c>
      <c r="C152" s="75" t="s">
        <v>324</v>
      </c>
      <c r="D152" s="87">
        <v>421974</v>
      </c>
      <c r="E152" s="75">
        <v>2006</v>
      </c>
      <c r="F152" s="75">
        <f>2024-E152</f>
        <v>18</v>
      </c>
      <c r="G152" s="81">
        <v>3</v>
      </c>
      <c r="H152" s="76"/>
      <c r="I152" s="76"/>
      <c r="J152" s="77"/>
      <c r="K152" s="77"/>
    </row>
    <row r="153" spans="2:11" x14ac:dyDescent="0.25">
      <c r="B153" s="75" t="s">
        <v>325</v>
      </c>
      <c r="C153" s="75" t="s">
        <v>154</v>
      </c>
      <c r="D153" s="87">
        <v>417953</v>
      </c>
      <c r="E153" s="75">
        <v>2005</v>
      </c>
      <c r="F153" s="75">
        <f t="shared" ref="F153:F159" si="8">2024-E153</f>
        <v>19</v>
      </c>
      <c r="G153" s="81">
        <v>3</v>
      </c>
      <c r="H153" s="76"/>
      <c r="I153" s="76"/>
      <c r="J153" s="77"/>
      <c r="K153" s="77"/>
    </row>
    <row r="154" spans="2:11" x14ac:dyDescent="0.25">
      <c r="B154" s="75" t="s">
        <v>326</v>
      </c>
      <c r="C154" s="75" t="s">
        <v>160</v>
      </c>
      <c r="D154" s="87">
        <v>373124</v>
      </c>
      <c r="E154" s="75">
        <v>2005</v>
      </c>
      <c r="F154" s="75">
        <f t="shared" si="8"/>
        <v>19</v>
      </c>
      <c r="G154" s="81">
        <v>3</v>
      </c>
      <c r="H154" s="76"/>
      <c r="I154" s="76"/>
      <c r="J154" s="77"/>
      <c r="K154" s="77"/>
    </row>
    <row r="155" spans="2:11" x14ac:dyDescent="0.25">
      <c r="B155" s="75" t="s">
        <v>327</v>
      </c>
      <c r="C155" s="75" t="s">
        <v>131</v>
      </c>
      <c r="D155" s="87">
        <v>360988</v>
      </c>
      <c r="E155" s="75">
        <v>2019</v>
      </c>
      <c r="F155" s="75">
        <f t="shared" si="8"/>
        <v>5</v>
      </c>
      <c r="G155" s="81">
        <v>15</v>
      </c>
      <c r="H155" s="76"/>
      <c r="I155" s="76"/>
      <c r="J155" s="77"/>
      <c r="K155" s="77"/>
    </row>
    <row r="156" spans="2:11" x14ac:dyDescent="0.25">
      <c r="B156" s="75" t="s">
        <v>328</v>
      </c>
      <c r="C156" s="75" t="s">
        <v>329</v>
      </c>
      <c r="D156" s="87">
        <v>356019</v>
      </c>
      <c r="E156" s="75">
        <v>2017</v>
      </c>
      <c r="F156" s="75">
        <f t="shared" si="8"/>
        <v>7</v>
      </c>
      <c r="G156" s="81">
        <v>14</v>
      </c>
      <c r="H156" s="76"/>
      <c r="I156" s="76"/>
      <c r="J156" s="77"/>
      <c r="K156" s="77"/>
    </row>
    <row r="157" spans="2:11" x14ac:dyDescent="0.25">
      <c r="B157" s="75" t="s">
        <v>330</v>
      </c>
      <c r="C157" s="75" t="s">
        <v>154</v>
      </c>
      <c r="D157" s="87">
        <v>340264</v>
      </c>
      <c r="E157" s="75">
        <v>2005</v>
      </c>
      <c r="F157" s="75">
        <f t="shared" si="8"/>
        <v>19</v>
      </c>
      <c r="G157" s="81">
        <v>3</v>
      </c>
      <c r="H157" s="76"/>
      <c r="I157" s="76"/>
      <c r="J157" s="77"/>
      <c r="K157" s="77"/>
    </row>
    <row r="158" spans="2:11" x14ac:dyDescent="0.25">
      <c r="B158" s="75" t="s">
        <v>331</v>
      </c>
      <c r="C158" s="75" t="s">
        <v>85</v>
      </c>
      <c r="D158" s="87">
        <v>336000</v>
      </c>
      <c r="E158" s="75">
        <v>2020</v>
      </c>
      <c r="F158" s="75">
        <f t="shared" si="8"/>
        <v>4</v>
      </c>
      <c r="G158" s="81">
        <v>32</v>
      </c>
      <c r="H158" s="76"/>
      <c r="I158" s="76"/>
      <c r="J158" s="77"/>
      <c r="K158" s="77"/>
    </row>
    <row r="159" spans="2:11" x14ac:dyDescent="0.25">
      <c r="B159" s="75" t="s">
        <v>332</v>
      </c>
      <c r="C159" s="75" t="s">
        <v>333</v>
      </c>
      <c r="D159" s="87">
        <v>331826</v>
      </c>
      <c r="E159" s="75">
        <v>2017</v>
      </c>
      <c r="F159" s="75">
        <f t="shared" si="8"/>
        <v>7</v>
      </c>
      <c r="G159" s="81">
        <v>14</v>
      </c>
      <c r="H159" s="76"/>
      <c r="I159" s="76"/>
      <c r="J159" s="77"/>
      <c r="K159" s="77"/>
    </row>
    <row r="160" spans="2:11" x14ac:dyDescent="0.25">
      <c r="B160" s="75" t="s">
        <v>334</v>
      </c>
      <c r="C160" s="75" t="s">
        <v>335</v>
      </c>
      <c r="D160" s="87">
        <v>327850</v>
      </c>
      <c r="E160" s="75">
        <v>2004</v>
      </c>
      <c r="F160" s="75">
        <f>2024-E160</f>
        <v>20</v>
      </c>
      <c r="G160" s="81">
        <v>3</v>
      </c>
      <c r="H160" s="76"/>
      <c r="I160" s="76"/>
      <c r="J160" s="77"/>
      <c r="K160" s="77"/>
    </row>
    <row r="161" spans="2:11" x14ac:dyDescent="0.25">
      <c r="B161" s="75" t="s">
        <v>336</v>
      </c>
      <c r="C161" s="75" t="s">
        <v>202</v>
      </c>
      <c r="D161" s="87">
        <v>325000</v>
      </c>
      <c r="E161" s="75">
        <v>2013</v>
      </c>
      <c r="F161" s="75">
        <f t="shared" ref="F161:F169" si="9">2024-E161</f>
        <v>11</v>
      </c>
      <c r="G161" s="81">
        <v>5</v>
      </c>
      <c r="H161" s="76"/>
      <c r="I161" s="76"/>
      <c r="J161" s="77"/>
      <c r="K161" s="77"/>
    </row>
    <row r="162" spans="2:11" x14ac:dyDescent="0.25">
      <c r="B162" s="75" t="s">
        <v>337</v>
      </c>
      <c r="C162" s="75" t="s">
        <v>319</v>
      </c>
      <c r="D162" s="87">
        <v>319264</v>
      </c>
      <c r="E162" s="75">
        <v>2016</v>
      </c>
      <c r="F162" s="75">
        <f t="shared" si="9"/>
        <v>8</v>
      </c>
      <c r="G162" s="81">
        <v>13</v>
      </c>
      <c r="H162" s="76"/>
      <c r="I162" s="76"/>
      <c r="J162" s="77"/>
      <c r="K162" s="77"/>
    </row>
    <row r="163" spans="2:11" x14ac:dyDescent="0.25">
      <c r="B163" s="75" t="s">
        <v>338</v>
      </c>
      <c r="C163" s="75" t="s">
        <v>339</v>
      </c>
      <c r="D163" s="87">
        <v>300256</v>
      </c>
      <c r="E163" s="75">
        <v>2005</v>
      </c>
      <c r="F163" s="75">
        <f t="shared" si="9"/>
        <v>19</v>
      </c>
      <c r="G163" s="81">
        <v>17</v>
      </c>
      <c r="H163" s="76"/>
      <c r="I163" s="76"/>
      <c r="J163" s="77"/>
      <c r="K163" s="77"/>
    </row>
    <row r="164" spans="2:11" x14ac:dyDescent="0.25">
      <c r="B164" s="75" t="s">
        <v>340</v>
      </c>
      <c r="C164" s="75" t="s">
        <v>341</v>
      </c>
      <c r="D164" s="87">
        <v>285889</v>
      </c>
      <c r="E164" s="75">
        <v>2004</v>
      </c>
      <c r="F164" s="75">
        <f t="shared" si="9"/>
        <v>20</v>
      </c>
      <c r="G164" s="81">
        <v>3</v>
      </c>
      <c r="H164" s="76"/>
      <c r="I164" s="76"/>
      <c r="J164" s="77"/>
      <c r="K164" s="77"/>
    </row>
    <row r="165" spans="2:11" x14ac:dyDescent="0.25">
      <c r="B165" s="75" t="s">
        <v>342</v>
      </c>
      <c r="C165" s="75" t="s">
        <v>171</v>
      </c>
      <c r="D165" s="87">
        <v>280000</v>
      </c>
      <c r="E165" s="75">
        <v>2008</v>
      </c>
      <c r="F165" s="75">
        <f t="shared" si="9"/>
        <v>16</v>
      </c>
      <c r="G165" s="81">
        <v>5</v>
      </c>
      <c r="H165" s="76"/>
      <c r="I165" s="76"/>
      <c r="J165" s="77"/>
      <c r="K165" s="77"/>
    </row>
    <row r="166" spans="2:11" x14ac:dyDescent="0.25">
      <c r="B166" s="75" t="s">
        <v>343</v>
      </c>
      <c r="C166" s="75" t="s">
        <v>341</v>
      </c>
      <c r="D166" s="87">
        <v>274386</v>
      </c>
      <c r="E166" s="75">
        <v>2004</v>
      </c>
      <c r="F166" s="75">
        <f t="shared" si="9"/>
        <v>20</v>
      </c>
      <c r="G166" s="81">
        <v>3</v>
      </c>
      <c r="H166" s="76"/>
      <c r="I166" s="76"/>
      <c r="J166" s="77"/>
      <c r="K166" s="77"/>
    </row>
    <row r="167" spans="2:11" x14ac:dyDescent="0.25">
      <c r="B167" s="75" t="s">
        <v>344</v>
      </c>
      <c r="C167" s="75" t="s">
        <v>279</v>
      </c>
      <c r="D167" s="87">
        <v>268000</v>
      </c>
      <c r="E167" s="75">
        <v>2018</v>
      </c>
      <c r="F167" s="75">
        <f t="shared" si="9"/>
        <v>6</v>
      </c>
      <c r="G167" s="81">
        <v>10</v>
      </c>
      <c r="H167" s="76"/>
      <c r="I167" s="76"/>
      <c r="J167" s="77"/>
      <c r="K167" s="77"/>
    </row>
    <row r="168" spans="2:11" x14ac:dyDescent="0.25">
      <c r="B168" s="75" t="s">
        <v>345</v>
      </c>
      <c r="C168" s="75" t="s">
        <v>346</v>
      </c>
      <c r="D168" s="87">
        <v>267000</v>
      </c>
      <c r="E168" s="75">
        <v>2017</v>
      </c>
      <c r="F168" s="75">
        <f t="shared" si="9"/>
        <v>7</v>
      </c>
      <c r="G168" s="81">
        <v>29</v>
      </c>
      <c r="H168" s="76"/>
      <c r="I168" s="76"/>
      <c r="J168" s="77"/>
      <c r="K168" s="77"/>
    </row>
    <row r="169" spans="2:11" x14ac:dyDescent="0.25">
      <c r="B169" s="75" t="s">
        <v>347</v>
      </c>
      <c r="C169" s="75" t="s">
        <v>127</v>
      </c>
      <c r="D169" s="87">
        <v>240255</v>
      </c>
      <c r="E169" s="75">
        <v>2005</v>
      </c>
      <c r="F169" s="75">
        <f t="shared" si="9"/>
        <v>19</v>
      </c>
      <c r="G169" s="81">
        <v>3</v>
      </c>
      <c r="H169" s="76"/>
      <c r="I169" s="76"/>
      <c r="J169" s="77"/>
      <c r="K169" s="77"/>
    </row>
    <row r="170" spans="2:11" x14ac:dyDescent="0.25">
      <c r="B170" s="75" t="s">
        <v>348</v>
      </c>
      <c r="C170" s="75" t="s">
        <v>160</v>
      </c>
      <c r="D170" s="87">
        <v>229620</v>
      </c>
      <c r="E170" s="75">
        <v>2004</v>
      </c>
      <c r="F170" s="75">
        <f>2024-E170</f>
        <v>20</v>
      </c>
      <c r="G170" s="81">
        <v>3</v>
      </c>
      <c r="H170" s="76"/>
      <c r="I170" s="76"/>
      <c r="J170" s="77"/>
      <c r="K170" s="77"/>
    </row>
    <row r="171" spans="2:11" x14ac:dyDescent="0.25">
      <c r="B171" s="75" t="s">
        <v>349</v>
      </c>
      <c r="C171" s="75" t="s">
        <v>341</v>
      </c>
      <c r="D171" s="87">
        <v>193906</v>
      </c>
      <c r="E171" s="75">
        <v>2004</v>
      </c>
      <c r="F171" s="75">
        <f t="shared" ref="F171:F180" si="10">2024-E171</f>
        <v>20</v>
      </c>
      <c r="G171" s="81">
        <v>3</v>
      </c>
      <c r="H171" s="76"/>
      <c r="I171" s="76"/>
      <c r="J171" s="77"/>
      <c r="K171" s="77"/>
    </row>
    <row r="172" spans="2:11" x14ac:dyDescent="0.25">
      <c r="B172" s="75" t="s">
        <v>350</v>
      </c>
      <c r="C172" s="75" t="s">
        <v>105</v>
      </c>
      <c r="D172" s="87">
        <v>192183</v>
      </c>
      <c r="E172" s="75">
        <v>2016</v>
      </c>
      <c r="F172" s="75">
        <f t="shared" si="10"/>
        <v>8</v>
      </c>
      <c r="G172" s="81">
        <v>28</v>
      </c>
      <c r="H172" s="76"/>
      <c r="I172" s="76"/>
      <c r="J172" s="77"/>
      <c r="K172" s="77"/>
    </row>
    <row r="173" spans="2:11" x14ac:dyDescent="0.25">
      <c r="B173" s="75" t="s">
        <v>351</v>
      </c>
      <c r="C173" s="75" t="s">
        <v>150</v>
      </c>
      <c r="D173" s="87">
        <v>178635</v>
      </c>
      <c r="E173" s="75">
        <v>2007</v>
      </c>
      <c r="F173" s="75">
        <f t="shared" si="10"/>
        <v>17</v>
      </c>
      <c r="G173" s="81">
        <v>19</v>
      </c>
      <c r="H173" s="76"/>
      <c r="I173" s="76"/>
      <c r="J173" s="77"/>
      <c r="K173" s="77"/>
    </row>
    <row r="174" spans="2:11" x14ac:dyDescent="0.25">
      <c r="B174" s="75" t="s">
        <v>352</v>
      </c>
      <c r="C174" s="75" t="s">
        <v>353</v>
      </c>
      <c r="D174" s="87">
        <v>165489</v>
      </c>
      <c r="E174" s="75">
        <v>2017</v>
      </c>
      <c r="F174" s="75">
        <f t="shared" si="10"/>
        <v>7</v>
      </c>
      <c r="G174" s="81">
        <v>29</v>
      </c>
      <c r="H174" s="76"/>
      <c r="I174" s="76"/>
      <c r="J174" s="77"/>
      <c r="K174" s="77"/>
    </row>
    <row r="175" spans="2:11" x14ac:dyDescent="0.25">
      <c r="B175" s="75" t="s">
        <v>354</v>
      </c>
      <c r="C175" s="75" t="s">
        <v>355</v>
      </c>
      <c r="D175" s="87">
        <v>165120</v>
      </c>
      <c r="E175" s="75">
        <v>2019</v>
      </c>
      <c r="F175" s="75">
        <f t="shared" si="10"/>
        <v>5</v>
      </c>
      <c r="G175" s="81">
        <v>30</v>
      </c>
      <c r="H175" s="76"/>
      <c r="I175" s="76"/>
      <c r="J175" s="77"/>
      <c r="K175" s="77"/>
    </row>
    <row r="176" spans="2:11" x14ac:dyDescent="0.25">
      <c r="B176" s="75" t="s">
        <v>356</v>
      </c>
      <c r="C176" s="75" t="s">
        <v>263</v>
      </c>
      <c r="D176" s="87">
        <v>165000</v>
      </c>
      <c r="E176" s="75">
        <v>2008</v>
      </c>
      <c r="F176" s="75">
        <f t="shared" si="10"/>
        <v>16</v>
      </c>
      <c r="G176" s="81">
        <v>5</v>
      </c>
      <c r="H176" s="76"/>
      <c r="I176" s="76"/>
      <c r="J176" s="77"/>
      <c r="K176" s="77"/>
    </row>
    <row r="177" spans="2:11" x14ac:dyDescent="0.25">
      <c r="B177" s="75" t="s">
        <v>357</v>
      </c>
      <c r="C177" s="75" t="s">
        <v>240</v>
      </c>
      <c r="D177" s="87">
        <v>134000</v>
      </c>
      <c r="E177" s="75">
        <v>2017</v>
      </c>
      <c r="F177" s="75">
        <f t="shared" si="10"/>
        <v>7</v>
      </c>
      <c r="G177" s="81">
        <v>29</v>
      </c>
      <c r="H177" s="76"/>
      <c r="I177" s="76"/>
      <c r="J177" s="77"/>
      <c r="K177" s="77"/>
    </row>
    <row r="178" spans="2:11" x14ac:dyDescent="0.25">
      <c r="B178" s="75" t="s">
        <v>358</v>
      </c>
      <c r="C178" s="75" t="s">
        <v>123</v>
      </c>
      <c r="D178" s="87">
        <v>125510</v>
      </c>
      <c r="E178" s="75">
        <v>2008</v>
      </c>
      <c r="F178" s="75">
        <f t="shared" si="10"/>
        <v>16</v>
      </c>
      <c r="G178" s="81">
        <v>20</v>
      </c>
      <c r="H178" s="76"/>
      <c r="I178" s="76"/>
      <c r="J178" s="77"/>
      <c r="K178" s="77"/>
    </row>
    <row r="179" spans="2:11" x14ac:dyDescent="0.25">
      <c r="B179" s="75" t="s">
        <v>359</v>
      </c>
      <c r="C179" s="75" t="s">
        <v>263</v>
      </c>
      <c r="D179" s="87">
        <v>113448</v>
      </c>
      <c r="E179" s="75">
        <v>2004</v>
      </c>
      <c r="F179" s="75">
        <f t="shared" si="10"/>
        <v>20</v>
      </c>
      <c r="G179" s="81">
        <v>3</v>
      </c>
      <c r="H179" s="76"/>
      <c r="I179" s="76"/>
      <c r="J179" s="77"/>
      <c r="K179" s="77"/>
    </row>
    <row r="180" spans="2:11" x14ac:dyDescent="0.25">
      <c r="B180" s="75" t="s">
        <v>360</v>
      </c>
      <c r="C180" s="75" t="s">
        <v>361</v>
      </c>
      <c r="D180" s="87">
        <v>97588</v>
      </c>
      <c r="E180" s="75">
        <v>2007</v>
      </c>
      <c r="F180" s="75">
        <f t="shared" si="10"/>
        <v>17</v>
      </c>
      <c r="G180" s="81">
        <v>19</v>
      </c>
      <c r="H180" s="76"/>
      <c r="I180" s="76"/>
      <c r="J180" s="77"/>
      <c r="K180" s="77"/>
    </row>
    <row r="181" spans="2:11" x14ac:dyDescent="0.25">
      <c r="B181" s="75" t="s">
        <v>362</v>
      </c>
      <c r="C181" s="75" t="s">
        <v>95</v>
      </c>
      <c r="D181" s="87">
        <v>80875</v>
      </c>
      <c r="E181" s="75">
        <v>2005</v>
      </c>
      <c r="F181" s="75">
        <f>2024-E181</f>
        <v>19</v>
      </c>
      <c r="G181" s="81">
        <v>3</v>
      </c>
      <c r="H181" s="76"/>
      <c r="I181" s="76"/>
      <c r="J181" s="77"/>
      <c r="K181" s="77"/>
    </row>
    <row r="182" spans="2:11" x14ac:dyDescent="0.25">
      <c r="B182" s="75" t="s">
        <v>363</v>
      </c>
      <c r="C182" s="75" t="s">
        <v>364</v>
      </c>
      <c r="D182" s="87">
        <v>74256</v>
      </c>
      <c r="E182" s="75">
        <v>2005</v>
      </c>
      <c r="F182" s="75">
        <f t="shared" ref="F182:F187" si="11">2024-E182</f>
        <v>19</v>
      </c>
      <c r="G182" s="81">
        <v>17</v>
      </c>
      <c r="H182" s="76"/>
      <c r="I182" s="76"/>
      <c r="J182" s="77"/>
      <c r="K182" s="77"/>
    </row>
    <row r="183" spans="2:11" x14ac:dyDescent="0.25">
      <c r="B183" s="75" t="s">
        <v>365</v>
      </c>
      <c r="C183" s="75" t="s">
        <v>366</v>
      </c>
      <c r="D183" s="87">
        <v>58200</v>
      </c>
      <c r="E183" s="75">
        <v>2006</v>
      </c>
      <c r="F183" s="75">
        <f t="shared" si="11"/>
        <v>18</v>
      </c>
      <c r="G183" s="81">
        <v>18</v>
      </c>
      <c r="H183" s="76"/>
      <c r="I183" s="76"/>
      <c r="J183" s="77"/>
      <c r="K183" s="77"/>
    </row>
    <row r="184" spans="2:11" x14ac:dyDescent="0.25">
      <c r="B184" s="75" t="s">
        <v>367</v>
      </c>
      <c r="C184" s="75" t="s">
        <v>240</v>
      </c>
      <c r="D184" s="87">
        <v>54760</v>
      </c>
      <c r="E184" s="75">
        <v>2016</v>
      </c>
      <c r="F184" s="75">
        <f t="shared" si="11"/>
        <v>8</v>
      </c>
      <c r="G184" s="81">
        <v>28</v>
      </c>
      <c r="H184" s="76"/>
      <c r="I184" s="76"/>
      <c r="J184" s="77"/>
      <c r="K184" s="77"/>
    </row>
    <row r="185" spans="2:11" x14ac:dyDescent="0.25">
      <c r="B185" s="75" t="s">
        <v>368</v>
      </c>
      <c r="C185" s="75" t="s">
        <v>369</v>
      </c>
      <c r="D185" s="87">
        <v>54516</v>
      </c>
      <c r="E185" s="75">
        <v>2007</v>
      </c>
      <c r="F185" s="75">
        <f t="shared" si="11"/>
        <v>17</v>
      </c>
      <c r="G185" s="81">
        <v>19</v>
      </c>
      <c r="H185" s="76"/>
      <c r="I185" s="76"/>
      <c r="J185" s="77"/>
      <c r="K185" s="77"/>
    </row>
    <row r="186" spans="2:11" x14ac:dyDescent="0.25">
      <c r="B186" s="75" t="s">
        <v>370</v>
      </c>
      <c r="C186" s="75" t="s">
        <v>240</v>
      </c>
      <c r="D186" s="87">
        <v>48570</v>
      </c>
      <c r="E186" s="75">
        <v>2016</v>
      </c>
      <c r="F186" s="75">
        <f t="shared" si="11"/>
        <v>8</v>
      </c>
      <c r="G186" s="81">
        <v>28</v>
      </c>
      <c r="H186" s="76"/>
      <c r="I186" s="76"/>
      <c r="J186" s="77"/>
      <c r="K186" s="77"/>
    </row>
    <row r="187" spans="2:11" x14ac:dyDescent="0.25">
      <c r="B187" s="75" t="s">
        <v>371</v>
      </c>
      <c r="C187" s="75" t="s">
        <v>372</v>
      </c>
      <c r="D187" s="87">
        <v>21063</v>
      </c>
      <c r="E187" s="75">
        <v>2005</v>
      </c>
      <c r="F187" s="75">
        <f t="shared" si="11"/>
        <v>19</v>
      </c>
      <c r="G187" s="81">
        <v>3</v>
      </c>
      <c r="H187" s="76"/>
      <c r="I187" s="76"/>
      <c r="J187" s="77"/>
      <c r="K187" s="77"/>
    </row>
    <row r="188" spans="2:11" s="83" customFormat="1" x14ac:dyDescent="0.25">
      <c r="B188" s="75" t="s">
        <v>373</v>
      </c>
      <c r="C188" s="75" t="s">
        <v>95</v>
      </c>
      <c r="D188" s="87">
        <v>12800</v>
      </c>
      <c r="E188" s="75">
        <v>2016</v>
      </c>
      <c r="F188" s="75">
        <f>2024-E188</f>
        <v>8</v>
      </c>
      <c r="G188" s="75">
        <v>8</v>
      </c>
      <c r="H188" s="76"/>
      <c r="I188" s="76"/>
    </row>
    <row r="189" spans="2:11" s="83" customFormat="1" x14ac:dyDescent="0.25">
      <c r="B189" s="75" t="s">
        <v>374</v>
      </c>
      <c r="C189" s="75" t="s">
        <v>375</v>
      </c>
      <c r="D189" s="87">
        <v>11775</v>
      </c>
      <c r="E189" s="75">
        <v>2017</v>
      </c>
      <c r="F189" s="75">
        <f>2024-E189</f>
        <v>7</v>
      </c>
      <c r="G189" s="75">
        <v>9</v>
      </c>
      <c r="H189" s="76"/>
      <c r="I189" s="76"/>
    </row>
    <row r="190" spans="2:11" s="83" customFormat="1" ht="33" x14ac:dyDescent="0.25">
      <c r="B190" s="75" t="s">
        <v>376</v>
      </c>
      <c r="C190" s="75" t="s">
        <v>296</v>
      </c>
      <c r="D190" s="87">
        <v>10868</v>
      </c>
      <c r="E190" s="75">
        <v>2005</v>
      </c>
      <c r="F190" s="75">
        <f>2024-E190</f>
        <v>19</v>
      </c>
      <c r="G190" s="75">
        <v>3</v>
      </c>
      <c r="H190" s="76"/>
      <c r="I190" s="76"/>
    </row>
    <row r="191" spans="2:11" s="83" customFormat="1" x14ac:dyDescent="0.25">
      <c r="B191" s="75" t="s">
        <v>377</v>
      </c>
      <c r="C191" s="75" t="s">
        <v>105</v>
      </c>
      <c r="D191" s="87">
        <v>3960</v>
      </c>
      <c r="E191" s="75">
        <v>2016</v>
      </c>
      <c r="F191" s="75">
        <f>2024-E191</f>
        <v>8</v>
      </c>
      <c r="G191" s="75">
        <v>8</v>
      </c>
      <c r="H191" s="76"/>
      <c r="I191" s="76"/>
    </row>
    <row r="192" spans="2:11" s="85" customFormat="1" x14ac:dyDescent="0.25">
      <c r="B192" s="78" t="s">
        <v>378</v>
      </c>
      <c r="C192" s="84"/>
      <c r="D192" s="88">
        <v>6333477030</v>
      </c>
      <c r="E192" s="84"/>
      <c r="F192" s="84"/>
      <c r="G192" s="84"/>
      <c r="H192" s="84"/>
      <c r="I192" s="84"/>
    </row>
    <row r="193" spans="2:9" ht="36" customHeight="1" x14ac:dyDescent="0.25">
      <c r="B193" s="209" t="s">
        <v>382</v>
      </c>
      <c r="C193" s="210"/>
      <c r="D193" s="89">
        <v>2623864563</v>
      </c>
      <c r="E193" s="82"/>
      <c r="F193" s="82"/>
      <c r="G193" s="82"/>
      <c r="H193" s="82"/>
      <c r="I193" s="82"/>
    </row>
    <row r="194" spans="2:9" x14ac:dyDescent="0.25">
      <c r="B194" s="67" t="s">
        <v>379</v>
      </c>
      <c r="C194" s="55"/>
      <c r="D194" s="90">
        <v>3709612467</v>
      </c>
      <c r="E194" s="55"/>
      <c r="F194" s="55"/>
      <c r="G194" s="55"/>
      <c r="H194" s="55"/>
      <c r="I194" s="55"/>
    </row>
    <row r="195" spans="2:9" s="85" customFormat="1" x14ac:dyDescent="0.25">
      <c r="B195" s="84" t="s">
        <v>380</v>
      </c>
      <c r="C195" s="67" t="s">
        <v>381</v>
      </c>
      <c r="D195" s="88">
        <v>57116587</v>
      </c>
      <c r="E195" s="84"/>
      <c r="F195" s="78">
        <v>2</v>
      </c>
      <c r="G195" s="78">
        <v>28</v>
      </c>
      <c r="H195" s="84"/>
      <c r="I195" s="84"/>
    </row>
    <row r="196" spans="2:9" ht="21" customHeight="1" x14ac:dyDescent="0.25">
      <c r="B196" s="211" t="s">
        <v>382</v>
      </c>
      <c r="C196" s="212"/>
      <c r="D196" s="92">
        <v>17157340</v>
      </c>
      <c r="E196" s="82"/>
      <c r="F196" s="82"/>
      <c r="G196" s="82"/>
      <c r="H196" s="82"/>
      <c r="I196" s="82"/>
    </row>
    <row r="197" spans="2:9" x14ac:dyDescent="0.25">
      <c r="B197" s="67" t="s">
        <v>383</v>
      </c>
      <c r="C197" s="55"/>
      <c r="D197" s="90">
        <v>39959247</v>
      </c>
      <c r="E197" s="55"/>
      <c r="F197" s="55"/>
      <c r="G197" s="55"/>
      <c r="H197" s="55"/>
      <c r="I197" s="55"/>
    </row>
    <row r="198" spans="2:9" s="85" customFormat="1" x14ac:dyDescent="0.25">
      <c r="B198" s="84" t="s">
        <v>384</v>
      </c>
      <c r="C198" s="84"/>
      <c r="D198" s="88">
        <v>3749571713</v>
      </c>
      <c r="E198" s="84"/>
      <c r="F198" s="84"/>
      <c r="G198" s="84"/>
      <c r="H198" s="84">
        <v>9127568713</v>
      </c>
      <c r="I198" s="84">
        <v>4749655765</v>
      </c>
    </row>
    <row r="207" spans="2:9" x14ac:dyDescent="0.3">
      <c r="D207" s="93"/>
    </row>
  </sheetData>
  <mergeCells count="2">
    <mergeCell ref="B193:C193"/>
    <mergeCell ref="B196:C19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A1:E18"/>
  <sheetViews>
    <sheetView workbookViewId="0">
      <selection sqref="A1:E18"/>
    </sheetView>
  </sheetViews>
  <sheetFormatPr defaultRowHeight="15" x14ac:dyDescent="0.25"/>
  <cols>
    <col min="1" max="1" width="3.28515625" bestFit="1" customWidth="1"/>
    <col min="2" max="2" width="15.5703125" bestFit="1" customWidth="1"/>
    <col min="3" max="3" width="6.28515625" bestFit="1" customWidth="1"/>
    <col min="4" max="4" width="9.28515625" bestFit="1" customWidth="1"/>
    <col min="5" max="5" width="13.7109375" bestFit="1" customWidth="1"/>
  </cols>
  <sheetData>
    <row r="1" spans="1:5" ht="16.5" x14ac:dyDescent="0.25">
      <c r="A1" s="216" t="s">
        <v>414</v>
      </c>
      <c r="B1" s="197" t="s">
        <v>67</v>
      </c>
      <c r="C1" s="205" t="s">
        <v>420</v>
      </c>
      <c r="D1" s="206"/>
      <c r="E1" s="197" t="s">
        <v>421</v>
      </c>
    </row>
    <row r="2" spans="1:5" ht="16.5" x14ac:dyDescent="0.25">
      <c r="A2" s="217"/>
      <c r="B2" s="198"/>
      <c r="C2" s="154" t="s">
        <v>422</v>
      </c>
      <c r="D2" s="68" t="s">
        <v>433</v>
      </c>
      <c r="E2" s="198"/>
    </row>
    <row r="3" spans="1:5" ht="16.5" x14ac:dyDescent="0.3">
      <c r="A3" s="180">
        <v>1</v>
      </c>
      <c r="B3" s="71" t="s">
        <v>70</v>
      </c>
      <c r="C3" s="95">
        <v>2</v>
      </c>
      <c r="D3" s="95">
        <v>8</v>
      </c>
      <c r="E3" s="95">
        <v>8903</v>
      </c>
    </row>
    <row r="4" spans="1:5" ht="16.5" x14ac:dyDescent="0.3">
      <c r="A4" s="181">
        <v>2</v>
      </c>
      <c r="B4" s="71" t="s">
        <v>71</v>
      </c>
      <c r="C4" s="95">
        <v>2</v>
      </c>
      <c r="D4" s="95">
        <v>2</v>
      </c>
      <c r="E4" s="95">
        <v>8296</v>
      </c>
    </row>
    <row r="5" spans="1:5" ht="16.5" x14ac:dyDescent="0.3">
      <c r="A5" s="181">
        <v>3</v>
      </c>
      <c r="B5" s="71" t="s">
        <v>72</v>
      </c>
      <c r="C5" s="95">
        <v>1</v>
      </c>
      <c r="D5" s="95">
        <v>39</v>
      </c>
      <c r="E5" s="95">
        <v>7994</v>
      </c>
    </row>
    <row r="6" spans="1:5" ht="16.5" x14ac:dyDescent="0.3">
      <c r="A6" s="181">
        <v>4</v>
      </c>
      <c r="B6" s="70" t="s">
        <v>69</v>
      </c>
      <c r="C6" s="95">
        <v>2</v>
      </c>
      <c r="D6" s="95">
        <v>12</v>
      </c>
      <c r="E6" s="94">
        <v>9308</v>
      </c>
    </row>
    <row r="7" spans="1:5" ht="16.5" x14ac:dyDescent="0.3">
      <c r="A7" s="181">
        <v>5</v>
      </c>
      <c r="B7" s="71">
        <v>495</v>
      </c>
      <c r="C7" s="95">
        <v>8</v>
      </c>
      <c r="D7" s="95">
        <v>34</v>
      </c>
      <c r="E7" s="95">
        <v>35816</v>
      </c>
    </row>
    <row r="8" spans="1:5" ht="16.5" x14ac:dyDescent="0.3">
      <c r="A8" s="181">
        <v>6</v>
      </c>
      <c r="B8" s="72">
        <v>496</v>
      </c>
      <c r="C8" s="95">
        <v>5</v>
      </c>
      <c r="D8" s="95">
        <v>6</v>
      </c>
      <c r="E8" s="96">
        <v>20842</v>
      </c>
    </row>
    <row r="9" spans="1:5" ht="16.5" x14ac:dyDescent="0.3">
      <c r="A9" s="181">
        <v>7</v>
      </c>
      <c r="B9" s="71">
        <v>497</v>
      </c>
      <c r="C9" s="95">
        <v>5</v>
      </c>
      <c r="D9" s="95">
        <v>21</v>
      </c>
      <c r="E9" s="95">
        <v>22360</v>
      </c>
    </row>
    <row r="10" spans="1:5" ht="16.5" x14ac:dyDescent="0.3">
      <c r="A10" s="181">
        <v>8</v>
      </c>
      <c r="B10" s="71">
        <v>498</v>
      </c>
      <c r="C10" s="95">
        <v>4</v>
      </c>
      <c r="D10" s="95">
        <v>16</v>
      </c>
      <c r="E10" s="95">
        <v>17807</v>
      </c>
    </row>
    <row r="11" spans="1:5" ht="16.5" x14ac:dyDescent="0.3">
      <c r="A11" s="181">
        <v>9</v>
      </c>
      <c r="B11" s="71">
        <v>499</v>
      </c>
      <c r="C11" s="95">
        <v>11</v>
      </c>
      <c r="D11" s="95">
        <v>0</v>
      </c>
      <c r="E11" s="95">
        <v>44515</v>
      </c>
    </row>
    <row r="12" spans="1:5" ht="16.5" x14ac:dyDescent="0.3">
      <c r="A12" s="181">
        <v>10</v>
      </c>
      <c r="B12" s="71" t="s">
        <v>403</v>
      </c>
      <c r="C12" s="95">
        <v>8</v>
      </c>
      <c r="D12" s="95">
        <v>35</v>
      </c>
      <c r="E12" s="95">
        <v>35917</v>
      </c>
    </row>
    <row r="13" spans="1:5" ht="16.5" x14ac:dyDescent="0.3">
      <c r="A13" s="181">
        <v>11</v>
      </c>
      <c r="B13" s="71" t="s">
        <v>73</v>
      </c>
      <c r="C13" s="95">
        <v>5</v>
      </c>
      <c r="D13" s="95">
        <v>27</v>
      </c>
      <c r="E13" s="95">
        <v>22967</v>
      </c>
    </row>
    <row r="14" spans="1:5" ht="16.5" x14ac:dyDescent="0.3">
      <c r="A14" s="181">
        <v>12</v>
      </c>
      <c r="B14" s="71" t="s">
        <v>74</v>
      </c>
      <c r="C14" s="95">
        <v>3</v>
      </c>
      <c r="D14" s="95">
        <v>22</v>
      </c>
      <c r="E14" s="95">
        <v>14367</v>
      </c>
    </row>
    <row r="15" spans="1:5" ht="16.5" x14ac:dyDescent="0.3">
      <c r="A15" s="181">
        <v>13</v>
      </c>
      <c r="B15" s="71" t="s">
        <v>404</v>
      </c>
      <c r="C15" s="95">
        <v>8</v>
      </c>
      <c r="D15" s="95">
        <v>0</v>
      </c>
      <c r="E15" s="95">
        <f>3.2375*10000</f>
        <v>32375</v>
      </c>
    </row>
    <row r="16" spans="1:5" ht="16.5" x14ac:dyDescent="0.3">
      <c r="A16" s="181">
        <v>14</v>
      </c>
      <c r="B16" s="71" t="s">
        <v>405</v>
      </c>
      <c r="C16" s="95">
        <v>3</v>
      </c>
      <c r="D16" s="95">
        <v>6</v>
      </c>
      <c r="E16" s="95">
        <f>1.2748*10000</f>
        <v>12748</v>
      </c>
    </row>
    <row r="17" spans="1:5" ht="16.5" x14ac:dyDescent="0.3">
      <c r="A17" s="181">
        <v>15</v>
      </c>
      <c r="B17" s="155" t="s">
        <v>406</v>
      </c>
      <c r="C17" s="156">
        <v>7</v>
      </c>
      <c r="D17" s="156">
        <v>0</v>
      </c>
      <c r="E17" s="156">
        <f>2.8328*10000</f>
        <v>28328.000000000004</v>
      </c>
    </row>
    <row r="18" spans="1:5" ht="16.5" x14ac:dyDescent="0.3">
      <c r="A18" s="213" t="s">
        <v>432</v>
      </c>
      <c r="B18" s="214"/>
      <c r="C18" s="214"/>
      <c r="D18" s="215"/>
      <c r="E18" s="97">
        <f>SUM(E3:E17)</f>
        <v>322543</v>
      </c>
    </row>
  </sheetData>
  <mergeCells count="5">
    <mergeCell ref="A18:D18"/>
    <mergeCell ref="A1:A2"/>
    <mergeCell ref="B1:B2"/>
    <mergeCell ref="C1:D1"/>
    <mergeCell ref="E1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O18" sqref="O18"/>
    </sheetView>
  </sheetViews>
  <sheetFormatPr defaultRowHeight="15" x14ac:dyDescent="0.25"/>
  <sheetData>
    <row r="18" spans="15:16" x14ac:dyDescent="0.25">
      <c r="O18" s="50"/>
      <c r="P18" s="50" t="s">
        <v>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50">
        <f>15000000/557</f>
        <v>26929.982046678637</v>
      </c>
      <c r="P15" s="5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 &amp; B Valuation </vt:lpstr>
      <vt:lpstr>Land Details</vt:lpstr>
      <vt:lpstr>Jantri Rate</vt:lpstr>
      <vt:lpstr>P &amp; M Valuation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2024-12-26T06:22:33Z</dcterms:modified>
</cp:coreProperties>
</file>