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man_industries\man industries\"/>
    </mc:Choice>
  </mc:AlternateContent>
  <xr:revisionPtr revIDLastSave="0" documentId="13_ncr:1_{6CF9DA11-11BA-486C-8357-9EA7DDE0ACDA}" xr6:coauthVersionLast="47" xr6:coauthVersionMax="47" xr10:uidLastSave="{00000000-0000-0000-0000-000000000000}"/>
  <bookViews>
    <workbookView xWindow="2685" yWindow="15" windowWidth="14025" windowHeight="15465" xr2:uid="{00000000-000D-0000-FFFF-FFFF00000000}"/>
  </bookViews>
  <sheets>
    <sheet name="L&amp;B Valuation " sheetId="4" r:id="rId1"/>
    <sheet name="Jantri Rate" sheetId="5" r:id="rId2"/>
    <sheet name="P&amp;M Valuation" sheetId="7" r:id="rId3"/>
    <sheet name="Sheet4" sheetId="8" r:id="rId4"/>
    <sheet name="Sheet5" sheetId="9" r:id="rId5"/>
    <sheet name="Sheet6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D7" i="4" s="1"/>
  <c r="O12" i="4"/>
  <c r="O13" i="4"/>
  <c r="G5" i="4"/>
  <c r="D20" i="4"/>
  <c r="P20" i="4" s="1"/>
  <c r="I21" i="4"/>
  <c r="K21" i="4" s="1"/>
  <c r="L21" i="4" s="1"/>
  <c r="M21" i="4" s="1"/>
  <c r="O21" i="4" s="1"/>
  <c r="P21" i="4"/>
  <c r="G2" i="10"/>
  <c r="I24" i="4"/>
  <c r="J24" i="4" s="1"/>
  <c r="P24" i="4"/>
  <c r="C4" i="10"/>
  <c r="B4" i="10"/>
  <c r="G42" i="4"/>
  <c r="C6" i="4"/>
  <c r="K12" i="4"/>
  <c r="L12" i="4" s="1"/>
  <c r="M12" i="4" s="1"/>
  <c r="P12" i="4"/>
  <c r="K13" i="4"/>
  <c r="L13" i="4" s="1"/>
  <c r="M13" i="4" s="1"/>
  <c r="P13" i="4"/>
  <c r="K14" i="4"/>
  <c r="L14" i="4" s="1"/>
  <c r="M14" i="4" s="1"/>
  <c r="O14" i="4" s="1"/>
  <c r="P14" i="4"/>
  <c r="K15" i="4"/>
  <c r="L15" i="4" s="1"/>
  <c r="M15" i="4" s="1"/>
  <c r="O15" i="4" s="1"/>
  <c r="P15" i="4"/>
  <c r="P16" i="4"/>
  <c r="P17" i="4"/>
  <c r="P18" i="4"/>
  <c r="P19" i="4"/>
  <c r="P22" i="4"/>
  <c r="P23" i="4"/>
  <c r="P26" i="4"/>
  <c r="P28" i="4"/>
  <c r="P29" i="4"/>
  <c r="P30" i="4"/>
  <c r="P31" i="4"/>
  <c r="J12" i="4"/>
  <c r="J13" i="4"/>
  <c r="J14" i="4"/>
  <c r="J15" i="4"/>
  <c r="J11" i="4"/>
  <c r="P11" i="4"/>
  <c r="K11" i="4"/>
  <c r="L11" i="4" s="1"/>
  <c r="M11" i="4" s="1"/>
  <c r="O11" i="4" s="1"/>
  <c r="J21" i="4" l="1"/>
  <c r="P32" i="4"/>
  <c r="C53" i="4" s="1"/>
  <c r="N21" i="4"/>
  <c r="K24" i="4"/>
  <c r="L24" i="4" s="1"/>
  <c r="M24" i="4" s="1"/>
  <c r="N12" i="4"/>
  <c r="N15" i="4"/>
  <c r="N14" i="4"/>
  <c r="N13" i="4"/>
  <c r="N11" i="4"/>
  <c r="O24" i="4" l="1"/>
  <c r="N24" i="4" s="1"/>
  <c r="F16" i="7"/>
  <c r="F23" i="7"/>
  <c r="F24" i="7"/>
  <c r="F25" i="7"/>
  <c r="F26" i="7"/>
  <c r="F27" i="7"/>
  <c r="F28" i="7"/>
  <c r="F29" i="7"/>
  <c r="F30" i="7"/>
  <c r="F31" i="7"/>
  <c r="F32" i="7"/>
  <c r="F34" i="7"/>
  <c r="F35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3" i="7"/>
  <c r="C68" i="7"/>
  <c r="I17" i="4"/>
  <c r="I18" i="4"/>
  <c r="J18" i="4" s="1"/>
  <c r="I19" i="4"/>
  <c r="I20" i="4"/>
  <c r="I22" i="4"/>
  <c r="I23" i="4"/>
  <c r="I26" i="4"/>
  <c r="I28" i="4"/>
  <c r="I29" i="4"/>
  <c r="I30" i="4"/>
  <c r="I31" i="4"/>
  <c r="I16" i="4"/>
  <c r="K17" i="4" l="1"/>
  <c r="L17" i="4" s="1"/>
  <c r="M17" i="4" s="1"/>
  <c r="J17" i="4"/>
  <c r="K30" i="4"/>
  <c r="L30" i="4" s="1"/>
  <c r="M30" i="4" s="1"/>
  <c r="J30" i="4"/>
  <c r="J26" i="4"/>
  <c r="K26" i="4"/>
  <c r="L26" i="4" s="1"/>
  <c r="M26" i="4" s="1"/>
  <c r="K20" i="4"/>
  <c r="L20" i="4" s="1"/>
  <c r="M20" i="4" s="1"/>
  <c r="J20" i="4"/>
  <c r="K16" i="4"/>
  <c r="L16" i="4" s="1"/>
  <c r="M16" i="4" s="1"/>
  <c r="O16" i="4" s="1"/>
  <c r="J16" i="4"/>
  <c r="J29" i="4"/>
  <c r="K29" i="4"/>
  <c r="L29" i="4" s="1"/>
  <c r="M29" i="4" s="1"/>
  <c r="K19" i="4"/>
  <c r="L19" i="4" s="1"/>
  <c r="M19" i="4" s="1"/>
  <c r="J19" i="4"/>
  <c r="J31" i="4"/>
  <c r="K31" i="4"/>
  <c r="L31" i="4" s="1"/>
  <c r="M31" i="4" s="1"/>
  <c r="J22" i="4"/>
  <c r="K22" i="4"/>
  <c r="L22" i="4" s="1"/>
  <c r="M22" i="4" s="1"/>
  <c r="J28" i="4"/>
  <c r="K28" i="4"/>
  <c r="L28" i="4" s="1"/>
  <c r="M28" i="4" s="1"/>
  <c r="K23" i="4"/>
  <c r="L23" i="4" s="1"/>
  <c r="M23" i="4" s="1"/>
  <c r="J23" i="4"/>
  <c r="K18" i="4"/>
  <c r="L18" i="4" s="1"/>
  <c r="O18" i="4" s="1"/>
  <c r="D32" i="4"/>
  <c r="N14" i="5"/>
  <c r="N15" i="5" s="1"/>
  <c r="O20" i="4" l="1"/>
  <c r="N20" i="4" s="1"/>
  <c r="O23" i="4"/>
  <c r="N23" i="4" s="1"/>
  <c r="O17" i="4"/>
  <c r="N17" i="4" s="1"/>
  <c r="O31" i="4"/>
  <c r="N31" i="4" s="1"/>
  <c r="O30" i="4"/>
  <c r="N30" i="4" s="1"/>
  <c r="O29" i="4"/>
  <c r="N29" i="4" s="1"/>
  <c r="O28" i="4"/>
  <c r="N28" i="4" s="1"/>
  <c r="O26" i="4"/>
  <c r="N26" i="4" s="1"/>
  <c r="O19" i="4"/>
  <c r="N19" i="4" s="1"/>
  <c r="O22" i="4"/>
  <c r="N22" i="4" s="1"/>
  <c r="N18" i="4"/>
  <c r="N16" i="4"/>
  <c r="O32" i="4" l="1"/>
  <c r="C47" i="4" s="1"/>
  <c r="C54" i="4" s="1"/>
  <c r="N32" i="4"/>
  <c r="O15" i="10"/>
  <c r="D133" i="4" l="1"/>
  <c r="B102" i="4" l="1"/>
  <c r="B103" i="4" s="1"/>
  <c r="C46" i="4" l="1"/>
  <c r="C49" i="4"/>
  <c r="C38" i="4" l="1"/>
  <c r="C50" i="4" l="1"/>
  <c r="C51" i="4" s="1"/>
  <c r="C52" i="4" l="1"/>
</calcChain>
</file>

<file path=xl/sharedStrings.xml><?xml version="1.0" encoding="utf-8"?>
<sst xmlns="http://schemas.openxmlformats.org/spreadsheetml/2006/main" count="202" uniqueCount="156">
  <si>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</si>
  <si>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</si>
  <si>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</si>
  <si>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</si>
  <si>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</si>
  <si>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</si>
  <si>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</si>
  <si>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</si>
  <si>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</si>
  <si>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</si>
  <si>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</si>
  <si>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</si>
  <si>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</si>
  <si>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</si>
  <si>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</si>
  <si>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</si>
  <si>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</si>
  <si>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</si>
  <si>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Balance Life of Structures in Years</t>
  </si>
  <si>
    <t>Depreciation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</si>
  <si>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</si>
  <si>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</si>
  <si>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</si>
  <si>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</si>
  <si>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</si>
  <si>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</si>
  <si>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</si>
  <si>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</si>
  <si>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>`</t>
  </si>
  <si>
    <t>Age Of Build. In Years(approx)</t>
  </si>
  <si>
    <t>Sq.M</t>
  </si>
  <si>
    <t>Structure Value (as per approved plan)</t>
  </si>
  <si>
    <t>Per Sq.M</t>
  </si>
  <si>
    <t>(Sq. M)</t>
  </si>
  <si>
    <t>Per Sq.Ft</t>
  </si>
  <si>
    <t>Coating Plant</t>
  </si>
  <si>
    <t>Shed connected to rear side of plant</t>
  </si>
  <si>
    <t>Go down &amp; Room near D.G. Shed</t>
  </si>
  <si>
    <t>Toilet</t>
  </si>
  <si>
    <t>D.G. Shed</t>
  </si>
  <si>
    <t>Guest House</t>
  </si>
  <si>
    <t>L-Saw (Old Plant)</t>
  </si>
  <si>
    <t>H-Saw Plant</t>
  </si>
  <si>
    <t>Shed</t>
  </si>
  <si>
    <t>RCC roof and Brick wall</t>
  </si>
  <si>
    <t>RCC roof &amp; Brick Wall</t>
  </si>
  <si>
    <t>RCC Roof &amp; Brick wall</t>
  </si>
  <si>
    <t>RCC roof &amp; Brick wall</t>
  </si>
  <si>
    <t>Office</t>
  </si>
  <si>
    <t>X-Ray Unit &amp; Store</t>
  </si>
  <si>
    <t>Store Building</t>
  </si>
  <si>
    <t>Ground Floor, 1st Floor &amp; 2nd Floor</t>
  </si>
  <si>
    <t>Admin building</t>
  </si>
  <si>
    <t>Ground Floor, 1st Floor &amp; Cabin</t>
  </si>
  <si>
    <t>Security Cabin</t>
  </si>
  <si>
    <t>Weigh Bridge</t>
  </si>
  <si>
    <t>Parking Shed near Security Cabin</t>
  </si>
  <si>
    <t>Total</t>
  </si>
  <si>
    <t>Plot No</t>
  </si>
  <si>
    <t>Area inSq.M.</t>
  </si>
  <si>
    <t>258/A</t>
  </si>
  <si>
    <t>258/B</t>
  </si>
  <si>
    <t>257/B</t>
  </si>
  <si>
    <t>258/C</t>
  </si>
  <si>
    <t>258/D</t>
  </si>
  <si>
    <t>269/B</t>
  </si>
  <si>
    <t>Description of M/C</t>
  </si>
  <si>
    <t>Capacity</t>
  </si>
  <si>
    <t>Original Cost</t>
  </si>
  <si>
    <t>Year</t>
  </si>
  <si>
    <t>Current Age</t>
  </si>
  <si>
    <t>Residual Age</t>
  </si>
  <si>
    <t>RCN</t>
  </si>
  <si>
    <t>Market Value</t>
  </si>
  <si>
    <t>Coil Trolley</t>
  </si>
  <si>
    <t>25 M. Ton</t>
  </si>
  <si>
    <t>Decoiler</t>
  </si>
  <si>
    <t>W = 2000 mm,   T = 20 mm</t>
  </si>
  <si>
    <t>Five Roll Flatener</t>
  </si>
  <si>
    <t>W = 2000 mm,     T = 20 mm</t>
  </si>
  <si>
    <t>Cross Butt Joint Station</t>
  </si>
  <si>
    <t>Seven roll Leveler</t>
  </si>
  <si>
    <t>Edge Chamfering Unit</t>
  </si>
  <si>
    <t>MAIN DRIVE</t>
  </si>
  <si>
    <t>EDGE PREBENDING UNIT</t>
  </si>
  <si>
    <t>FORMING TABLE</t>
  </si>
  <si>
    <t>Run Out System</t>
  </si>
  <si>
    <t>Pipe OD = 24" - 130",     T = 20 mm</t>
  </si>
  <si>
    <t>Plasma Cutting Machine</t>
  </si>
  <si>
    <t>High Speed HT 4400</t>
  </si>
  <si>
    <t>Tack repair Station</t>
  </si>
  <si>
    <t>Pipe OD 24" - 130",     T = Upto 20 mm</t>
  </si>
  <si>
    <t>Welding Rectifier</t>
  </si>
  <si>
    <t>Pipe OD 24" - 130"</t>
  </si>
  <si>
    <t>Flux Recovery System</t>
  </si>
  <si>
    <t>T = Upto 20 MM</t>
  </si>
  <si>
    <t>Metaviusion Slides</t>
  </si>
  <si>
    <t>ID Welding Room</t>
  </si>
  <si>
    <t>OD Welding Machine</t>
  </si>
  <si>
    <t>Wagon with Rotator Assembly</t>
  </si>
  <si>
    <t>Cross Joint Welding Machine</t>
  </si>
  <si>
    <t>24" - 130" Dia.</t>
  </si>
  <si>
    <t>Bevelling Machine</t>
  </si>
  <si>
    <t>Hydrotester (2000 T)</t>
  </si>
  <si>
    <t>Manual ultrasonic Test Machine</t>
  </si>
  <si>
    <t>Pipe X-Ray Unit</t>
  </si>
  <si>
    <t>EOT Crane</t>
  </si>
  <si>
    <t>30 Ton</t>
  </si>
  <si>
    <t>Air Compressor</t>
  </si>
  <si>
    <t>500 CFM</t>
  </si>
  <si>
    <t>Internal Blasting Machine</t>
  </si>
  <si>
    <t>28" to 130" Dia</t>
  </si>
  <si>
    <t>Dust Collector Unit</t>
  </si>
  <si>
    <t xml:space="preserve">Internal Painting M/C Paint Heating Drums </t>
  </si>
  <si>
    <t>Lathe Machine</t>
  </si>
  <si>
    <t>Shaper Machine</t>
  </si>
  <si>
    <t>Radial Drill Machine</t>
  </si>
  <si>
    <t>Power Hexa Machine</t>
  </si>
  <si>
    <t>Surface Grinder Machine</t>
  </si>
  <si>
    <t>Milling Machine</t>
  </si>
  <si>
    <t>Universal Testing Machine</t>
  </si>
  <si>
    <t>100 M. T.</t>
  </si>
  <si>
    <t>Portable Compressor</t>
  </si>
  <si>
    <t>DG Set tranformer, Power Distribution Panel</t>
  </si>
  <si>
    <t>1000 KVA</t>
  </si>
  <si>
    <t>Welding Machine</t>
  </si>
  <si>
    <t>400 to 630A</t>
  </si>
  <si>
    <t>Hydra Crane</t>
  </si>
  <si>
    <t>CCTV Camera</t>
  </si>
  <si>
    <t>Coating Machine</t>
  </si>
  <si>
    <t>2200 Kg/H</t>
  </si>
  <si>
    <t>Up-Down Rotator</t>
  </si>
  <si>
    <t>Holiday Detector Manual Range (0.5 to 5 Kv)</t>
  </si>
  <si>
    <t>Gauge Surface Roughness Tester Sj-210 P17-923</t>
  </si>
  <si>
    <t>Coating Thickness Gauge with Probe Make Elcometer</t>
  </si>
  <si>
    <t>Gas Mixture</t>
  </si>
  <si>
    <t>132 KW VFD Panel with ATV71HC13N4D VFD</t>
  </si>
  <si>
    <t>Gear Box type K063280FMHH1A1-5AB Make PBL</t>
  </si>
  <si>
    <t>Pull off Adhesion Tester</t>
  </si>
  <si>
    <t>Cables &amp; Plants</t>
  </si>
  <si>
    <t>APFC Panel</t>
  </si>
  <si>
    <t>Chain Hoist</t>
  </si>
  <si>
    <t>Offline Welding Plant</t>
  </si>
  <si>
    <t>3PH, 3Kw Induction Motor</t>
  </si>
  <si>
    <t>LM Bearing Rail</t>
  </si>
  <si>
    <t>LM Guide Block</t>
  </si>
  <si>
    <t>Hydraulic Cylinder</t>
  </si>
  <si>
    <t>Plasma Cutting Machine PMX 125 HYP</t>
  </si>
  <si>
    <t>Submercible Pump 2HP</t>
  </si>
  <si>
    <t xml:space="preserve">Holiday Detector </t>
  </si>
  <si>
    <t>Jeep Meter</t>
  </si>
  <si>
    <t>Grand Total</t>
  </si>
  <si>
    <t>Total Land Area</t>
  </si>
  <si>
    <t>Estimated Replacement Cost</t>
  </si>
  <si>
    <t>Structure</t>
  </si>
  <si>
    <t xml:space="preserve"> Type of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</si>
</sst>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4" fontId="7" fillId="0" borderId="1" xfId="0" applyNumberFormat="1" applyFont="1" applyBorder="1"/>
    <xf numFmtId="2" fontId="3" fillId="0" borderId="0" xfId="0" applyNumberFormat="1" applyFont="1"/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>
      <alignment vertical="top" wrapText="1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2" fontId="1" fillId="0" borderId="0" xfId="1" applyNumberFormat="1" applyFont="1"/>
    <xf numFmtId="0" fontId="8" fillId="0" borderId="0" xfId="0" applyFont="1" applyAlignment="1">
      <alignment horizontal="right" vertical="top"/>
    </xf>
    <xf numFmtId="2" fontId="15" fillId="0" borderId="0" xfId="0" applyNumberFormat="1" applyFont="1"/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6" fillId="0" borderId="0" xfId="0" applyFont="1"/>
    <xf numFmtId="4" fontId="8" fillId="0" borderId="0" xfId="0" applyNumberFormat="1" applyFont="1" applyAlignment="1">
      <alignment vertical="top"/>
    </xf>
    <xf numFmtId="0" fontId="0" fillId="2" borderId="0" xfId="0" applyFill="1"/>
    <xf numFmtId="164" fontId="1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wrapText="1"/>
    </xf>
    <xf numFmtId="43" fontId="6" fillId="0" borderId="1" xfId="1" applyFont="1" applyBorder="1"/>
    <xf numFmtId="4" fontId="7" fillId="0" borderId="0" xfId="0" applyNumberFormat="1" applyFont="1" applyAlignment="1">
      <alignment horizontal="right" vertical="top"/>
    </xf>
    <xf numFmtId="0" fontId="1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43" fontId="6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15" fillId="0" borderId="0" xfId="1" applyFont="1"/>
    <xf numFmtId="43" fontId="1" fillId="0" borderId="0" xfId="1" applyFont="1"/>
    <xf numFmtId="43" fontId="7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1" fillId="0" borderId="1" xfId="1" applyFont="1" applyBorder="1" applyAlignment="1">
      <alignment vertical="center" wrapText="1"/>
    </xf>
    <xf numFmtId="43" fontId="6" fillId="0" borderId="3" xfId="1" applyFont="1" applyBorder="1"/>
    <xf numFmtId="43" fontId="7" fillId="0" borderId="0" xfId="1" applyFont="1" applyAlignment="1">
      <alignment vertical="top"/>
    </xf>
    <xf numFmtId="43" fontId="1" fillId="0" borderId="0" xfId="1" applyFont="1" applyAlignment="1">
      <alignment wrapText="1"/>
    </xf>
    <xf numFmtId="43" fontId="6" fillId="0" borderId="4" xfId="1" applyFont="1" applyBorder="1" applyAlignment="1">
      <alignment vertical="top"/>
    </xf>
    <xf numFmtId="2" fontId="15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3" fontId="14" fillId="0" borderId="5" xfId="1" applyFont="1" applyBorder="1" applyAlignment="1">
      <alignment wrapText="1"/>
    </xf>
    <xf numFmtId="43" fontId="7" fillId="0" borderId="1" xfId="1" applyFont="1" applyBorder="1" applyAlignment="1">
      <alignment wrapText="1"/>
    </xf>
    <xf numFmtId="43" fontId="7" fillId="0" borderId="1" xfId="1" applyFont="1" applyBorder="1" applyAlignment="1">
      <alignment vertical="top" wrapText="1"/>
    </xf>
    <xf numFmtId="43" fontId="7" fillId="0" borderId="1" xfId="1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center" wrapText="1" shrinkToFit="1"/>
    </xf>
    <xf numFmtId="43" fontId="7" fillId="0" borderId="1" xfId="1" applyFont="1" applyBorder="1" applyAlignment="1">
      <alignment horizontal="right" vertical="center" wrapText="1" shrinkToFit="1"/>
    </xf>
    <xf numFmtId="43" fontId="10" fillId="0" borderId="1" xfId="1" applyFont="1" applyBorder="1" applyAlignment="1">
      <alignment horizontal="right" vertical="center" wrapText="1"/>
    </xf>
    <xf numFmtId="165" fontId="7" fillId="0" borderId="1" xfId="1" applyNumberFormat="1" applyFont="1" applyBorder="1" applyAlignment="1">
      <alignment vertical="center" wrapText="1"/>
    </xf>
    <xf numFmtId="43" fontId="7" fillId="0" borderId="1" xfId="1" applyFont="1" applyFill="1" applyBorder="1" applyAlignment="1">
      <alignment vertical="top" wrapText="1"/>
    </xf>
    <xf numFmtId="43" fontId="7" fillId="0" borderId="1" xfId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43" fontId="6" fillId="0" borderId="1" xfId="1" applyFont="1" applyBorder="1" applyAlignment="1">
      <alignment horizontal="right"/>
    </xf>
    <xf numFmtId="43" fontId="6" fillId="0" borderId="2" xfId="1" applyFont="1" applyBorder="1" applyAlignment="1">
      <alignment horizontal="center" vertical="top"/>
    </xf>
    <xf numFmtId="43" fontId="6" fillId="0" borderId="6" xfId="1" applyFont="1" applyBorder="1" applyAlignment="1">
      <alignment horizontal="center" vertical="top"/>
    </xf>
    <xf numFmtId="0" fontId="17" fillId="0" borderId="0" xfId="3" applyAlignment="1">
      <alignment horizontal="left" wrapText="1"/>
    </xf>
    <xf numFmtId="0" fontId="2" fillId="0" borderId="0" xfId="0" applyFont="1" applyAlignment="1">
      <alignment horizontal="left" wrapText="1"/>
    </xf>
    <xf numFmtId="43" fontId="1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43" fontId="4" fillId="0" borderId="1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190501</xdr:colOff>
      <xdr:row>2</xdr:row>
      <xdr:rowOff>17317</xdr:rowOff>
    </xdr:from>
    <xdr:to>
      <xdr:col>12</xdr:col>
      <xdr:colOff>531512</xdr:colOff>
      <xdr:row>5</xdr:row>
      <xdr:rowOff>205335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3D0E939-99FA-E8CE-4266-061B1AFA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1" y="606135"/>
          <a:ext cx="5077534" cy="828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171450</xdr:rowOff>
    </xdr:from>
    <xdr:to>
      <xdr:col>12</xdr:col>
      <xdr:colOff>105763</xdr:colOff>
      <xdr:row>42</xdr:row>
      <xdr:rowOff>77303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56B345-6116-D243-C114-4933BD5F8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71450"/>
          <a:ext cx="7078063" cy="7906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Q190"/>
  <sheetViews>
    <sheetView tabSelected="1" zoomScale="110" zoomScaleNormal="110" workbookViewId="0">
      <pane xSplit="4" ySplit="9" topLeftCell="E40" activePane="bottomRight" state="frozen"/>
      <selection pane="topRight" activeCell="C1" sqref="C1"/>
      <selection pane="bottomLeft" activeCell="A7" sqref="A7"/>
      <selection pane="bottomRight" activeCell="C11" sqref="C11"/>
    </sheetView>
  </sheetViews>
  <sheetFormatPr defaultColWidth="20" defaultRowHeight="16.5" x14ac:dyDescent="0.3"/>
  <cols>
    <col min="1" max="1" width="6.7109375" style="1" customWidth="1"/>
    <col min="2" max="2" width="16" style="88" bestFit="1" customWidth="1"/>
    <col min="3" max="3" width="14.7109375" style="88" bestFit="1" customWidth="1"/>
    <col min="4" max="4" width="14.7109375" style="85" bestFit="1" customWidth="1"/>
    <col min="5" max="5" width="6.5703125" style="1" bestFit="1" customWidth="1"/>
    <col min="6" max="6" width="8.28515625" style="1" bestFit="1" customWidth="1"/>
    <col min="7" max="7" width="12.7109375" style="1" bestFit="1" customWidth="1"/>
    <col min="8" max="8" width="15.140625" style="3" customWidth="1"/>
    <col min="9" max="9" width="13.28515625" style="3" bestFit="1" customWidth="1"/>
    <col min="10" max="10" width="16" style="3" bestFit="1" customWidth="1"/>
    <col min="11" max="11" width="17.85546875" style="3" bestFit="1" customWidth="1"/>
    <col min="12" max="12" width="8.7109375" style="1" bestFit="1" customWidth="1"/>
    <col min="13" max="13" width="18.28515625" style="3" bestFit="1" customWidth="1"/>
    <col min="14" max="14" width="14.7109375" style="1" bestFit="1" customWidth="1"/>
    <col min="15" max="15" width="19.140625" style="3" bestFit="1" customWidth="1"/>
    <col min="16" max="16" width="15.28515625" style="3" bestFit="1" customWidth="1"/>
    <col min="17" max="16384" width="20" style="1"/>
  </cols>
  <sheetData>
    <row r="1" spans="2:16" ht="29.25" customHeight="1" x14ac:dyDescent="0.3">
      <c r="B1" s="104"/>
      <c r="C1" s="104"/>
      <c r="D1" s="105"/>
      <c r="E1" s="105"/>
      <c r="F1" s="105"/>
      <c r="G1" s="105"/>
      <c r="H1" s="105"/>
      <c r="I1" s="45"/>
      <c r="J1" s="1"/>
      <c r="K1" s="1"/>
      <c r="M1" s="1"/>
    </row>
    <row r="2" spans="2:16" ht="17.25" customHeight="1" x14ac:dyDescent="0.3">
      <c r="B2" s="87"/>
      <c r="C2" s="87"/>
      <c r="D2" s="78"/>
      <c r="E2" s="45"/>
      <c r="F2" s="45"/>
      <c r="G2" s="45"/>
      <c r="H2" s="45"/>
      <c r="I2" s="45"/>
      <c r="J2" s="1"/>
      <c r="K2" s="1"/>
      <c r="M2" s="1"/>
    </row>
    <row r="3" spans="2:16" x14ac:dyDescent="0.3">
      <c r="B3" s="5" t="s">
        <v>11</v>
      </c>
      <c r="C3" s="5"/>
      <c r="D3" s="79"/>
    </row>
    <row r="4" spans="2:16" ht="17.25" thickBot="1" x14ac:dyDescent="0.35">
      <c r="B4" s="55" t="s">
        <v>152</v>
      </c>
      <c r="C4" s="90">
        <v>88907.17</v>
      </c>
      <c r="D4" s="32" t="s">
        <v>30</v>
      </c>
      <c r="G4" s="1">
        <v>2670</v>
      </c>
      <c r="H4" s="1"/>
      <c r="I4" s="1"/>
      <c r="L4" s="3"/>
      <c r="O4" s="1"/>
      <c r="P4" s="1"/>
    </row>
    <row r="5" spans="2:16" ht="17.25" thickTop="1" x14ac:dyDescent="0.3">
      <c r="B5" s="11" t="s">
        <v>5</v>
      </c>
      <c r="C5" s="98">
        <v>3000</v>
      </c>
      <c r="D5" s="12">
        <v>2670</v>
      </c>
      <c r="F5" s="46"/>
      <c r="G5" s="43">
        <f>C4*G4</f>
        <v>237382143.90000001</v>
      </c>
      <c r="H5" s="1"/>
      <c r="L5" s="3"/>
      <c r="O5" s="1"/>
      <c r="P5" s="1"/>
    </row>
    <row r="6" spans="2:16" x14ac:dyDescent="0.3">
      <c r="B6" s="33" t="s">
        <v>16</v>
      </c>
      <c r="C6" s="99">
        <f>ROUND(C4*C5,0)</f>
        <v>266721510</v>
      </c>
      <c r="D6" s="99">
        <f>ROUND(C4*D5,0)</f>
        <v>237382144</v>
      </c>
      <c r="G6" s="15"/>
      <c r="H6" s="1"/>
      <c r="L6" s="3"/>
      <c r="O6" s="1"/>
      <c r="P6" s="1"/>
    </row>
    <row r="7" spans="2:16" ht="13.5" customHeight="1" x14ac:dyDescent="0.3">
      <c r="B7" s="34"/>
      <c r="C7" s="34"/>
      <c r="D7" s="80">
        <f>D6/C4</f>
        <v>2670.0000011247689</v>
      </c>
      <c r="E7" s="35"/>
      <c r="G7" s="15"/>
      <c r="H7" s="17"/>
      <c r="I7" s="1"/>
      <c r="L7" s="3"/>
      <c r="N7" s="3"/>
      <c r="O7" s="1"/>
      <c r="P7" s="1"/>
    </row>
    <row r="8" spans="2:16" ht="19.5" customHeight="1" x14ac:dyDescent="0.3">
      <c r="B8" s="111" t="s">
        <v>31</v>
      </c>
      <c r="C8" s="111"/>
      <c r="D8" s="111"/>
      <c r="F8" s="14"/>
    </row>
    <row r="9" spans="2:16" s="118" customFormat="1" ht="38.25" x14ac:dyDescent="0.25">
      <c r="B9" s="116" t="s">
        <v>154</v>
      </c>
      <c r="C9" s="116" t="s">
        <v>155</v>
      </c>
      <c r="D9" s="117" t="s">
        <v>26</v>
      </c>
      <c r="E9" s="116" t="s">
        <v>0</v>
      </c>
      <c r="F9" s="116" t="s">
        <v>1</v>
      </c>
      <c r="G9" s="116" t="s">
        <v>2</v>
      </c>
      <c r="H9" s="116" t="s">
        <v>17</v>
      </c>
      <c r="I9" s="116" t="s">
        <v>29</v>
      </c>
      <c r="J9" s="116" t="s">
        <v>18</v>
      </c>
      <c r="K9" s="116" t="s">
        <v>3</v>
      </c>
      <c r="L9" s="116" t="s">
        <v>4</v>
      </c>
      <c r="M9" s="116" t="s">
        <v>14</v>
      </c>
      <c r="N9" s="116" t="s">
        <v>19</v>
      </c>
      <c r="O9" s="116" t="s">
        <v>15</v>
      </c>
      <c r="P9" s="116" t="s">
        <v>153</v>
      </c>
    </row>
    <row r="10" spans="2:16" s="19" customFormat="1" x14ac:dyDescent="0.2">
      <c r="B10" s="18"/>
      <c r="C10" s="18"/>
      <c r="D10" s="81" t="s">
        <v>33</v>
      </c>
      <c r="E10" s="36"/>
      <c r="F10" s="36"/>
      <c r="G10" s="36"/>
      <c r="H10" s="2" t="s">
        <v>20</v>
      </c>
      <c r="I10" s="36"/>
      <c r="J10" s="36"/>
      <c r="K10" s="2"/>
      <c r="L10" s="2"/>
      <c r="M10" s="2" t="s">
        <v>20</v>
      </c>
      <c r="N10" s="2" t="s">
        <v>20</v>
      </c>
      <c r="O10" s="2" t="s">
        <v>20</v>
      </c>
      <c r="P10" s="2" t="s">
        <v>20</v>
      </c>
    </row>
    <row r="11" spans="2:16" s="19" customFormat="1" x14ac:dyDescent="0.2">
      <c r="B11" s="59" t="s">
        <v>35</v>
      </c>
      <c r="C11" s="59" t="s">
        <v>43</v>
      </c>
      <c r="D11" s="82">
        <v>2033.5</v>
      </c>
      <c r="E11" s="59">
        <v>1998</v>
      </c>
      <c r="F11" s="59">
        <v>2024</v>
      </c>
      <c r="G11" s="59">
        <v>40</v>
      </c>
      <c r="H11" s="38">
        <v>13000</v>
      </c>
      <c r="I11" s="97">
        <v>26</v>
      </c>
      <c r="J11" s="97">
        <f>G11-I11</f>
        <v>14</v>
      </c>
      <c r="K11" s="94">
        <f>IF(I11&gt;=5,90*I11/G11,0)</f>
        <v>58.5</v>
      </c>
      <c r="L11" s="95">
        <f>H11/100*K11</f>
        <v>7605</v>
      </c>
      <c r="M11" s="95">
        <f>H11-L11</f>
        <v>5395</v>
      </c>
      <c r="N11" s="95">
        <f>P11-O11</f>
        <v>15464767</v>
      </c>
      <c r="O11" s="95">
        <f>ROUND(M11*D11,0)</f>
        <v>10970733</v>
      </c>
      <c r="P11" s="95">
        <f>H11*D11</f>
        <v>26435500</v>
      </c>
    </row>
    <row r="12" spans="2:16" s="19" customFormat="1" ht="33" x14ac:dyDescent="0.2">
      <c r="B12" s="59" t="s">
        <v>36</v>
      </c>
      <c r="C12" s="59" t="s">
        <v>43</v>
      </c>
      <c r="D12" s="82">
        <v>297.5</v>
      </c>
      <c r="E12" s="59">
        <v>1998</v>
      </c>
      <c r="F12" s="59">
        <v>2024</v>
      </c>
      <c r="G12" s="59">
        <v>40</v>
      </c>
      <c r="H12" s="38">
        <v>9500</v>
      </c>
      <c r="I12" s="97">
        <v>26</v>
      </c>
      <c r="J12" s="97">
        <f t="shared" ref="J12:J31" si="0">G12-I12</f>
        <v>14</v>
      </c>
      <c r="K12" s="94">
        <f t="shared" ref="K12:K31" si="1">IF(I12&gt;=5,90*I12/G12,0)</f>
        <v>58.5</v>
      </c>
      <c r="L12" s="95">
        <f t="shared" ref="L12:L31" si="2">H12/100*K12</f>
        <v>5557.5</v>
      </c>
      <c r="M12" s="95">
        <f t="shared" ref="M12:M31" si="3">H12-L12</f>
        <v>3942.5</v>
      </c>
      <c r="N12" s="95">
        <f t="shared" ref="N12:N31" si="4">P12-O12</f>
        <v>1653356</v>
      </c>
      <c r="O12" s="95">
        <f t="shared" ref="O12:O31" si="5">ROUND(M12*D12,0)</f>
        <v>1172894</v>
      </c>
      <c r="P12" s="95">
        <f t="shared" ref="P12:P31" si="6">H12*D12</f>
        <v>2826250</v>
      </c>
    </row>
    <row r="13" spans="2:16" s="19" customFormat="1" ht="33" x14ac:dyDescent="0.2">
      <c r="B13" s="59"/>
      <c r="C13" s="59" t="s">
        <v>44</v>
      </c>
      <c r="D13" s="82">
        <v>49</v>
      </c>
      <c r="E13" s="59">
        <v>1998</v>
      </c>
      <c r="F13" s="59">
        <v>2024</v>
      </c>
      <c r="G13" s="59">
        <v>60</v>
      </c>
      <c r="H13" s="38">
        <v>12000</v>
      </c>
      <c r="I13" s="97">
        <v>26</v>
      </c>
      <c r="J13" s="97">
        <f t="shared" si="0"/>
        <v>34</v>
      </c>
      <c r="K13" s="94">
        <f t="shared" si="1"/>
        <v>39</v>
      </c>
      <c r="L13" s="95">
        <f t="shared" si="2"/>
        <v>4680</v>
      </c>
      <c r="M13" s="95">
        <f t="shared" si="3"/>
        <v>7320</v>
      </c>
      <c r="N13" s="95">
        <f t="shared" si="4"/>
        <v>229320</v>
      </c>
      <c r="O13" s="95">
        <f t="shared" si="5"/>
        <v>358680</v>
      </c>
      <c r="P13" s="95">
        <f t="shared" si="6"/>
        <v>588000</v>
      </c>
    </row>
    <row r="14" spans="2:16" s="19" customFormat="1" ht="33" x14ac:dyDescent="0.2">
      <c r="B14" s="59" t="s">
        <v>37</v>
      </c>
      <c r="C14" s="59" t="s">
        <v>43</v>
      </c>
      <c r="D14" s="82">
        <v>261.45</v>
      </c>
      <c r="E14" s="59">
        <v>1998</v>
      </c>
      <c r="F14" s="59">
        <v>2024</v>
      </c>
      <c r="G14" s="59">
        <v>40</v>
      </c>
      <c r="H14" s="38">
        <v>7500</v>
      </c>
      <c r="I14" s="97">
        <v>26</v>
      </c>
      <c r="J14" s="97">
        <f t="shared" si="0"/>
        <v>14</v>
      </c>
      <c r="K14" s="94">
        <f t="shared" si="1"/>
        <v>58.5</v>
      </c>
      <c r="L14" s="95">
        <f t="shared" si="2"/>
        <v>4387.5</v>
      </c>
      <c r="M14" s="95">
        <f t="shared" si="3"/>
        <v>3112.5</v>
      </c>
      <c r="N14" s="95">
        <f t="shared" si="4"/>
        <v>1147112</v>
      </c>
      <c r="O14" s="95">
        <f t="shared" si="5"/>
        <v>813763</v>
      </c>
      <c r="P14" s="95">
        <f t="shared" si="6"/>
        <v>1960875</v>
      </c>
    </row>
    <row r="15" spans="2:16" s="19" customFormat="1" x14ac:dyDescent="0.2">
      <c r="B15" s="59" t="s">
        <v>38</v>
      </c>
      <c r="C15" s="59" t="s">
        <v>43</v>
      </c>
      <c r="D15" s="82">
        <v>35</v>
      </c>
      <c r="E15" s="59">
        <v>1998</v>
      </c>
      <c r="F15" s="59">
        <v>2024</v>
      </c>
      <c r="G15" s="59">
        <v>40</v>
      </c>
      <c r="H15" s="38">
        <v>10500</v>
      </c>
      <c r="I15" s="97">
        <v>26</v>
      </c>
      <c r="J15" s="97">
        <f t="shared" si="0"/>
        <v>14</v>
      </c>
      <c r="K15" s="94">
        <f t="shared" si="1"/>
        <v>58.5</v>
      </c>
      <c r="L15" s="95">
        <f t="shared" si="2"/>
        <v>6142.5</v>
      </c>
      <c r="M15" s="95">
        <f t="shared" si="3"/>
        <v>4357.5</v>
      </c>
      <c r="N15" s="95">
        <f t="shared" si="4"/>
        <v>214987</v>
      </c>
      <c r="O15" s="95">
        <f t="shared" si="5"/>
        <v>152513</v>
      </c>
      <c r="P15" s="95">
        <f t="shared" si="6"/>
        <v>367500</v>
      </c>
    </row>
    <row r="16" spans="2:16" s="19" customFormat="1" x14ac:dyDescent="0.2">
      <c r="B16" s="59" t="s">
        <v>39</v>
      </c>
      <c r="C16" s="59" t="s">
        <v>43</v>
      </c>
      <c r="D16" s="82">
        <v>140</v>
      </c>
      <c r="E16" s="59">
        <v>1998</v>
      </c>
      <c r="F16" s="59">
        <v>2024</v>
      </c>
      <c r="G16" s="59">
        <v>60</v>
      </c>
      <c r="H16" s="38">
        <v>7500</v>
      </c>
      <c r="I16" s="97">
        <f>F16-E16</f>
        <v>26</v>
      </c>
      <c r="J16" s="97">
        <f t="shared" si="0"/>
        <v>34</v>
      </c>
      <c r="K16" s="94">
        <f t="shared" si="1"/>
        <v>39</v>
      </c>
      <c r="L16" s="95">
        <f t="shared" si="2"/>
        <v>2925</v>
      </c>
      <c r="M16" s="95">
        <f t="shared" si="3"/>
        <v>4575</v>
      </c>
      <c r="N16" s="95">
        <f t="shared" si="4"/>
        <v>409500</v>
      </c>
      <c r="O16" s="95">
        <f t="shared" si="5"/>
        <v>640500</v>
      </c>
      <c r="P16" s="95">
        <f t="shared" si="6"/>
        <v>1050000</v>
      </c>
    </row>
    <row r="17" spans="2:17" s="19" customFormat="1" ht="33" x14ac:dyDescent="0.2">
      <c r="B17" s="59" t="s">
        <v>40</v>
      </c>
      <c r="C17" s="59" t="s">
        <v>45</v>
      </c>
      <c r="D17" s="82">
        <v>176</v>
      </c>
      <c r="E17" s="59">
        <v>1998</v>
      </c>
      <c r="F17" s="59">
        <v>2024</v>
      </c>
      <c r="G17" s="59">
        <v>60</v>
      </c>
      <c r="H17" s="38">
        <v>15000</v>
      </c>
      <c r="I17" s="97">
        <f t="shared" ref="I17:I31" si="7">F17-E17</f>
        <v>26</v>
      </c>
      <c r="J17" s="97">
        <f t="shared" si="0"/>
        <v>34</v>
      </c>
      <c r="K17" s="94">
        <f t="shared" si="1"/>
        <v>39</v>
      </c>
      <c r="L17" s="95">
        <f t="shared" si="2"/>
        <v>5850</v>
      </c>
      <c r="M17" s="95">
        <f t="shared" si="3"/>
        <v>9150</v>
      </c>
      <c r="N17" s="95">
        <f t="shared" si="4"/>
        <v>1029600</v>
      </c>
      <c r="O17" s="95">
        <f t="shared" si="5"/>
        <v>1610400</v>
      </c>
      <c r="P17" s="95">
        <f t="shared" si="6"/>
        <v>2640000</v>
      </c>
    </row>
    <row r="18" spans="2:17" s="19" customFormat="1" x14ac:dyDescent="0.2">
      <c r="B18" s="59" t="s">
        <v>41</v>
      </c>
      <c r="C18" s="59" t="s">
        <v>43</v>
      </c>
      <c r="D18" s="82">
        <v>11446.4</v>
      </c>
      <c r="E18" s="59">
        <v>1998</v>
      </c>
      <c r="F18" s="59">
        <v>2024</v>
      </c>
      <c r="G18" s="59">
        <v>40</v>
      </c>
      <c r="H18" s="38">
        <v>15550</v>
      </c>
      <c r="I18" s="97">
        <f t="shared" si="7"/>
        <v>26</v>
      </c>
      <c r="J18" s="97">
        <f t="shared" si="0"/>
        <v>14</v>
      </c>
      <c r="K18" s="94">
        <f t="shared" si="1"/>
        <v>58.5</v>
      </c>
      <c r="L18" s="95">
        <f t="shared" si="2"/>
        <v>9096.75</v>
      </c>
      <c r="M18" s="95">
        <v>4000</v>
      </c>
      <c r="N18" s="95">
        <f t="shared" si="4"/>
        <v>132205920</v>
      </c>
      <c r="O18" s="95">
        <f t="shared" si="5"/>
        <v>45785600</v>
      </c>
      <c r="P18" s="95">
        <f t="shared" si="6"/>
        <v>177991520</v>
      </c>
    </row>
    <row r="19" spans="2:17" s="19" customFormat="1" ht="33" x14ac:dyDescent="0.2">
      <c r="B19" s="59"/>
      <c r="C19" s="59" t="s">
        <v>46</v>
      </c>
      <c r="D19" s="82">
        <v>220.5</v>
      </c>
      <c r="E19" s="59">
        <v>1998</v>
      </c>
      <c r="F19" s="59">
        <v>2024</v>
      </c>
      <c r="G19" s="59">
        <v>60</v>
      </c>
      <c r="H19" s="38">
        <v>12000</v>
      </c>
      <c r="I19" s="97">
        <f t="shared" si="7"/>
        <v>26</v>
      </c>
      <c r="J19" s="97">
        <f t="shared" si="0"/>
        <v>34</v>
      </c>
      <c r="K19" s="94">
        <f t="shared" si="1"/>
        <v>39</v>
      </c>
      <c r="L19" s="95">
        <f t="shared" si="2"/>
        <v>4680</v>
      </c>
      <c r="M19" s="95">
        <f t="shared" si="3"/>
        <v>7320</v>
      </c>
      <c r="N19" s="95">
        <f t="shared" si="4"/>
        <v>1031940</v>
      </c>
      <c r="O19" s="95">
        <f t="shared" si="5"/>
        <v>1614060</v>
      </c>
      <c r="P19" s="95">
        <f t="shared" si="6"/>
        <v>2646000</v>
      </c>
    </row>
    <row r="20" spans="2:17" s="19" customFormat="1" x14ac:dyDescent="0.2">
      <c r="B20" s="59" t="s">
        <v>42</v>
      </c>
      <c r="C20" s="59" t="s">
        <v>43</v>
      </c>
      <c r="D20" s="82">
        <f>Sheet6!B4+Sheet6!C4</f>
        <v>5811.6949999999997</v>
      </c>
      <c r="E20" s="59">
        <v>1998</v>
      </c>
      <c r="F20" s="59">
        <v>2024</v>
      </c>
      <c r="G20" s="59">
        <v>40</v>
      </c>
      <c r="H20" s="38">
        <v>15500</v>
      </c>
      <c r="I20" s="97">
        <f t="shared" si="7"/>
        <v>26</v>
      </c>
      <c r="J20" s="97">
        <f t="shared" si="0"/>
        <v>14</v>
      </c>
      <c r="K20" s="94">
        <f t="shared" si="1"/>
        <v>58.5</v>
      </c>
      <c r="L20" s="95">
        <f t="shared" si="2"/>
        <v>9067.5</v>
      </c>
      <c r="M20" s="95">
        <f t="shared" si="3"/>
        <v>6432.5</v>
      </c>
      <c r="N20" s="95">
        <f t="shared" si="4"/>
        <v>52697544.5</v>
      </c>
      <c r="O20" s="95">
        <f t="shared" si="5"/>
        <v>37383728</v>
      </c>
      <c r="P20" s="95">
        <f t="shared" si="6"/>
        <v>90081272.5</v>
      </c>
    </row>
    <row r="21" spans="2:17" s="19" customFormat="1" x14ac:dyDescent="0.2">
      <c r="B21" s="59"/>
      <c r="C21" s="59"/>
      <c r="D21" s="82">
        <v>1559</v>
      </c>
      <c r="E21" s="59">
        <v>2015</v>
      </c>
      <c r="F21" s="59">
        <v>2024</v>
      </c>
      <c r="G21" s="59">
        <v>40</v>
      </c>
      <c r="H21" s="38">
        <v>15500</v>
      </c>
      <c r="I21" s="97">
        <f t="shared" ref="I21" si="8">F21-E21</f>
        <v>9</v>
      </c>
      <c r="J21" s="97">
        <f t="shared" ref="J21" si="9">G21-I21</f>
        <v>31</v>
      </c>
      <c r="K21" s="94">
        <f t="shared" ref="K21" si="10">IF(I21&gt;=5,90*I21/G21,0)</f>
        <v>20.25</v>
      </c>
      <c r="L21" s="95">
        <f t="shared" ref="L21" si="11">H21/100*K21</f>
        <v>3138.75</v>
      </c>
      <c r="M21" s="95">
        <f t="shared" ref="M21" si="12">H21-L21</f>
        <v>12361.25</v>
      </c>
      <c r="N21" s="95">
        <f t="shared" ref="N21" si="13">P21-O21</f>
        <v>4893311</v>
      </c>
      <c r="O21" s="95">
        <f t="shared" si="5"/>
        <v>19271189</v>
      </c>
      <c r="P21" s="95">
        <f t="shared" ref="P21" si="14">H21*D21</f>
        <v>24164500</v>
      </c>
    </row>
    <row r="22" spans="2:17" s="19" customFormat="1" ht="33" x14ac:dyDescent="0.2">
      <c r="B22" s="59" t="s">
        <v>48</v>
      </c>
      <c r="C22" s="59" t="s">
        <v>45</v>
      </c>
      <c r="D22" s="82">
        <v>350</v>
      </c>
      <c r="E22" s="59">
        <v>2015</v>
      </c>
      <c r="F22" s="59">
        <v>2024</v>
      </c>
      <c r="G22" s="59">
        <v>60</v>
      </c>
      <c r="H22" s="38">
        <v>15500</v>
      </c>
      <c r="I22" s="97">
        <f t="shared" si="7"/>
        <v>9</v>
      </c>
      <c r="J22" s="97">
        <f t="shared" si="0"/>
        <v>51</v>
      </c>
      <c r="K22" s="94">
        <f t="shared" si="1"/>
        <v>13.5</v>
      </c>
      <c r="L22" s="95">
        <f t="shared" si="2"/>
        <v>2092.5</v>
      </c>
      <c r="M22" s="95">
        <f t="shared" si="3"/>
        <v>13407.5</v>
      </c>
      <c r="N22" s="95">
        <f t="shared" si="4"/>
        <v>732375</v>
      </c>
      <c r="O22" s="95">
        <f t="shared" si="5"/>
        <v>4692625</v>
      </c>
      <c r="P22" s="95">
        <f t="shared" si="6"/>
        <v>5425000</v>
      </c>
    </row>
    <row r="23" spans="2:17" s="19" customFormat="1" x14ac:dyDescent="0.2">
      <c r="B23" s="59" t="s">
        <v>49</v>
      </c>
      <c r="C23" s="59" t="s">
        <v>43</v>
      </c>
      <c r="D23" s="82">
        <v>62.5</v>
      </c>
      <c r="E23" s="59">
        <v>2015</v>
      </c>
      <c r="F23" s="59">
        <v>2024</v>
      </c>
      <c r="G23" s="59">
        <v>40</v>
      </c>
      <c r="H23" s="38">
        <v>9500</v>
      </c>
      <c r="I23" s="97">
        <f t="shared" si="7"/>
        <v>9</v>
      </c>
      <c r="J23" s="97">
        <f t="shared" si="0"/>
        <v>31</v>
      </c>
      <c r="K23" s="94">
        <f t="shared" si="1"/>
        <v>20.25</v>
      </c>
      <c r="L23" s="95">
        <f t="shared" si="2"/>
        <v>1923.75</v>
      </c>
      <c r="M23" s="95">
        <f t="shared" si="3"/>
        <v>7576.25</v>
      </c>
      <c r="N23" s="95">
        <f t="shared" si="4"/>
        <v>120234</v>
      </c>
      <c r="O23" s="95">
        <f t="shared" si="5"/>
        <v>473516</v>
      </c>
      <c r="P23" s="95">
        <f t="shared" si="6"/>
        <v>593750</v>
      </c>
    </row>
    <row r="24" spans="2:17" s="19" customFormat="1" ht="33" x14ac:dyDescent="0.2">
      <c r="B24" s="59"/>
      <c r="C24" s="59" t="s">
        <v>45</v>
      </c>
      <c r="D24" s="82">
        <v>25</v>
      </c>
      <c r="E24" s="59">
        <v>2015</v>
      </c>
      <c r="F24" s="59">
        <v>2024</v>
      </c>
      <c r="G24" s="59">
        <v>60</v>
      </c>
      <c r="H24" s="38">
        <v>12000</v>
      </c>
      <c r="I24" s="97">
        <f t="shared" ref="I24" si="15">F24-E24</f>
        <v>9</v>
      </c>
      <c r="J24" s="97">
        <f t="shared" ref="J24" si="16">G24-I24</f>
        <v>51</v>
      </c>
      <c r="K24" s="94">
        <f t="shared" ref="K24" si="17">IF(I24&gt;=5,90*I24/G24,0)</f>
        <v>13.5</v>
      </c>
      <c r="L24" s="95">
        <f t="shared" ref="L24" si="18">H24/100*K24</f>
        <v>1620</v>
      </c>
      <c r="M24" s="95">
        <f t="shared" ref="M24" si="19">H24-L24</f>
        <v>10380</v>
      </c>
      <c r="N24" s="95">
        <f t="shared" ref="N24" si="20">P24-O24</f>
        <v>40500</v>
      </c>
      <c r="O24" s="95">
        <f t="shared" si="5"/>
        <v>259500</v>
      </c>
      <c r="P24" s="95">
        <f t="shared" ref="P24" si="21">H24*D24</f>
        <v>300000</v>
      </c>
    </row>
    <row r="25" spans="2:17" s="19" customFormat="1" x14ac:dyDescent="0.2">
      <c r="B25" s="59" t="s">
        <v>50</v>
      </c>
      <c r="C25" s="59"/>
      <c r="D25" s="82"/>
      <c r="E25" s="59"/>
      <c r="F25" s="59"/>
      <c r="G25" s="59"/>
      <c r="H25" s="38"/>
      <c r="I25" s="97"/>
      <c r="J25" s="97"/>
      <c r="K25" s="94"/>
      <c r="L25" s="95"/>
      <c r="M25" s="95"/>
      <c r="N25" s="95"/>
      <c r="O25" s="95"/>
      <c r="P25" s="95"/>
    </row>
    <row r="26" spans="2:17" s="19" customFormat="1" ht="33" x14ac:dyDescent="0.2">
      <c r="B26" s="59" t="s">
        <v>51</v>
      </c>
      <c r="C26" s="59" t="s">
        <v>47</v>
      </c>
      <c r="D26" s="82">
        <v>848.5</v>
      </c>
      <c r="E26" s="59">
        <v>1998</v>
      </c>
      <c r="F26" s="59">
        <v>2024</v>
      </c>
      <c r="G26" s="59">
        <v>60</v>
      </c>
      <c r="H26" s="38">
        <v>12000</v>
      </c>
      <c r="I26" s="97">
        <f t="shared" si="7"/>
        <v>26</v>
      </c>
      <c r="J26" s="97">
        <f t="shared" si="0"/>
        <v>34</v>
      </c>
      <c r="K26" s="94">
        <f t="shared" si="1"/>
        <v>39</v>
      </c>
      <c r="L26" s="95">
        <f t="shared" si="2"/>
        <v>4680</v>
      </c>
      <c r="M26" s="95">
        <f t="shared" si="3"/>
        <v>7320</v>
      </c>
      <c r="N26" s="95">
        <f t="shared" si="4"/>
        <v>3970980</v>
      </c>
      <c r="O26" s="95">
        <f t="shared" si="5"/>
        <v>6211020</v>
      </c>
      <c r="P26" s="95">
        <f t="shared" si="6"/>
        <v>10182000</v>
      </c>
    </row>
    <row r="27" spans="2:17" s="19" customFormat="1" x14ac:dyDescent="0.2">
      <c r="B27" s="59" t="s">
        <v>52</v>
      </c>
      <c r="C27" s="59"/>
      <c r="D27" s="82"/>
      <c r="E27" s="59"/>
      <c r="F27" s="59"/>
      <c r="G27" s="59"/>
      <c r="H27" s="93"/>
      <c r="I27" s="97"/>
      <c r="J27" s="97"/>
      <c r="K27" s="94"/>
      <c r="L27" s="95"/>
      <c r="M27" s="95"/>
      <c r="N27" s="95"/>
      <c r="O27" s="95"/>
      <c r="P27" s="95"/>
    </row>
    <row r="28" spans="2:17" s="19" customFormat="1" ht="33" x14ac:dyDescent="0.2">
      <c r="B28" s="59" t="s">
        <v>53</v>
      </c>
      <c r="C28" s="59" t="s">
        <v>47</v>
      </c>
      <c r="D28" s="82">
        <v>367.63</v>
      </c>
      <c r="E28" s="59">
        <v>1998</v>
      </c>
      <c r="F28" s="59">
        <v>2024</v>
      </c>
      <c r="G28" s="59">
        <v>60</v>
      </c>
      <c r="H28" s="38">
        <v>12000</v>
      </c>
      <c r="I28" s="97">
        <f t="shared" si="7"/>
        <v>26</v>
      </c>
      <c r="J28" s="97">
        <f t="shared" si="0"/>
        <v>34</v>
      </c>
      <c r="K28" s="94">
        <f t="shared" si="1"/>
        <v>39</v>
      </c>
      <c r="L28" s="95">
        <f t="shared" si="2"/>
        <v>4680</v>
      </c>
      <c r="M28" s="95">
        <f t="shared" si="3"/>
        <v>7320</v>
      </c>
      <c r="N28" s="95">
        <f t="shared" si="4"/>
        <v>1720508</v>
      </c>
      <c r="O28" s="95">
        <f t="shared" si="5"/>
        <v>2691052</v>
      </c>
      <c r="P28" s="95">
        <f t="shared" si="6"/>
        <v>4411560</v>
      </c>
    </row>
    <row r="29" spans="2:17" s="19" customFormat="1" ht="33" x14ac:dyDescent="0.2">
      <c r="B29" s="59" t="s">
        <v>54</v>
      </c>
      <c r="C29" s="59" t="s">
        <v>47</v>
      </c>
      <c r="D29" s="82">
        <v>53.61</v>
      </c>
      <c r="E29" s="59">
        <v>1998</v>
      </c>
      <c r="F29" s="59">
        <v>2024</v>
      </c>
      <c r="G29" s="59">
        <v>60</v>
      </c>
      <c r="H29" s="38">
        <v>12000</v>
      </c>
      <c r="I29" s="97">
        <f t="shared" si="7"/>
        <v>26</v>
      </c>
      <c r="J29" s="97">
        <f t="shared" si="0"/>
        <v>34</v>
      </c>
      <c r="K29" s="94">
        <f t="shared" si="1"/>
        <v>39</v>
      </c>
      <c r="L29" s="95">
        <f t="shared" si="2"/>
        <v>4680</v>
      </c>
      <c r="M29" s="95">
        <f t="shared" si="3"/>
        <v>7320</v>
      </c>
      <c r="N29" s="95">
        <f t="shared" si="4"/>
        <v>250895</v>
      </c>
      <c r="O29" s="95">
        <f t="shared" si="5"/>
        <v>392425</v>
      </c>
      <c r="P29" s="95">
        <f t="shared" si="6"/>
        <v>643320</v>
      </c>
    </row>
    <row r="30" spans="2:17" s="19" customFormat="1" ht="33" x14ac:dyDescent="0.2">
      <c r="B30" s="59" t="s">
        <v>55</v>
      </c>
      <c r="C30" s="59" t="s">
        <v>47</v>
      </c>
      <c r="D30" s="82">
        <v>9</v>
      </c>
      <c r="E30" s="59">
        <v>1998</v>
      </c>
      <c r="F30" s="59">
        <v>2024</v>
      </c>
      <c r="G30" s="59">
        <v>60</v>
      </c>
      <c r="H30" s="38">
        <v>12000</v>
      </c>
      <c r="I30" s="97">
        <f t="shared" si="7"/>
        <v>26</v>
      </c>
      <c r="J30" s="97">
        <f t="shared" si="0"/>
        <v>34</v>
      </c>
      <c r="K30" s="94">
        <f t="shared" si="1"/>
        <v>39</v>
      </c>
      <c r="L30" s="95">
        <f t="shared" si="2"/>
        <v>4680</v>
      </c>
      <c r="M30" s="95">
        <f t="shared" si="3"/>
        <v>7320</v>
      </c>
      <c r="N30" s="95">
        <f t="shared" si="4"/>
        <v>42120</v>
      </c>
      <c r="O30" s="95">
        <f t="shared" si="5"/>
        <v>65880</v>
      </c>
      <c r="P30" s="95">
        <f t="shared" si="6"/>
        <v>108000</v>
      </c>
    </row>
    <row r="31" spans="2:17" s="21" customFormat="1" ht="33" x14ac:dyDescent="0.3">
      <c r="B31" s="59" t="s">
        <v>56</v>
      </c>
      <c r="C31" s="59" t="s">
        <v>43</v>
      </c>
      <c r="D31" s="82">
        <v>210</v>
      </c>
      <c r="E31" s="59">
        <v>1998</v>
      </c>
      <c r="F31" s="59">
        <v>2024</v>
      </c>
      <c r="G31" s="59">
        <v>40</v>
      </c>
      <c r="H31" s="38">
        <v>2000</v>
      </c>
      <c r="I31" s="97">
        <f t="shared" si="7"/>
        <v>26</v>
      </c>
      <c r="J31" s="97">
        <f t="shared" si="0"/>
        <v>14</v>
      </c>
      <c r="K31" s="94">
        <f t="shared" si="1"/>
        <v>58.5</v>
      </c>
      <c r="L31" s="95">
        <f t="shared" si="2"/>
        <v>1170</v>
      </c>
      <c r="M31" s="95">
        <f t="shared" si="3"/>
        <v>830</v>
      </c>
      <c r="N31" s="95">
        <f t="shared" si="4"/>
        <v>245700</v>
      </c>
      <c r="O31" s="95">
        <f t="shared" si="5"/>
        <v>174300</v>
      </c>
      <c r="P31" s="95">
        <f t="shared" si="6"/>
        <v>420000</v>
      </c>
      <c r="Q31" s="48"/>
    </row>
    <row r="32" spans="2:17" s="21" customFormat="1" ht="18.75" customHeight="1" x14ac:dyDescent="0.3">
      <c r="B32" s="59" t="s">
        <v>57</v>
      </c>
      <c r="C32" s="59"/>
      <c r="D32" s="56">
        <f>SUM(D11:D31)</f>
        <v>23956.285</v>
      </c>
      <c r="E32" s="61"/>
      <c r="F32" s="61"/>
      <c r="G32" s="62"/>
      <c r="H32" s="38"/>
      <c r="I32" s="97"/>
      <c r="J32" s="97"/>
      <c r="K32" s="63"/>
      <c r="L32" s="96"/>
      <c r="M32" s="96"/>
      <c r="N32" s="101">
        <f>ROUND(SUM(N11:N31),0)</f>
        <v>218100670</v>
      </c>
      <c r="O32" s="101">
        <f>ROUND(SUM(O11:O31),0)</f>
        <v>134734378</v>
      </c>
      <c r="P32" s="101">
        <f>ROUND(SUM(P11:P31),0)</f>
        <v>352835048</v>
      </c>
    </row>
    <row r="33" spans="2:17" s="21" customFormat="1" ht="18.75" customHeight="1" x14ac:dyDescent="0.3">
      <c r="B33" s="60"/>
      <c r="C33" s="60"/>
      <c r="D33" s="83"/>
      <c r="E33" s="39"/>
      <c r="F33" s="39"/>
      <c r="G33" s="40"/>
      <c r="H33" s="41"/>
      <c r="I33" s="42"/>
      <c r="J33" s="42"/>
      <c r="K33" s="42"/>
      <c r="L33" s="42"/>
      <c r="M33" s="42"/>
    </row>
    <row r="34" spans="2:17" s="21" customFormat="1" ht="18.75" customHeight="1" x14ac:dyDescent="0.3">
      <c r="B34" s="60"/>
      <c r="C34" s="60"/>
      <c r="D34" s="83"/>
      <c r="E34" s="39"/>
      <c r="F34" s="39"/>
      <c r="G34" s="40"/>
      <c r="H34" s="41"/>
      <c r="I34" s="42"/>
      <c r="J34" s="42"/>
      <c r="K34" s="42"/>
      <c r="L34" s="42"/>
      <c r="M34" s="42"/>
    </row>
    <row r="35" spans="2:17" x14ac:dyDescent="0.3">
      <c r="B35" s="107" t="s">
        <v>21</v>
      </c>
      <c r="C35" s="107"/>
      <c r="D35" s="107"/>
      <c r="E35" s="20"/>
      <c r="F35" s="64" t="s">
        <v>58</v>
      </c>
      <c r="G35" s="64" t="s">
        <v>59</v>
      </c>
      <c r="I35" s="23"/>
      <c r="J35" s="1"/>
      <c r="K35" s="1"/>
      <c r="M35" s="1"/>
      <c r="O35" s="1"/>
      <c r="P35" s="1"/>
      <c r="Q35" s="16"/>
    </row>
    <row r="36" spans="2:17" x14ac:dyDescent="0.3">
      <c r="B36" s="11" t="s">
        <v>22</v>
      </c>
      <c r="C36" s="91"/>
      <c r="D36" s="20"/>
      <c r="E36" s="3"/>
      <c r="F36" s="65" t="s">
        <v>60</v>
      </c>
      <c r="G36" s="65">
        <v>16500</v>
      </c>
      <c r="H36" s="57"/>
      <c r="I36" s="1"/>
      <c r="J36" s="1"/>
      <c r="K36" s="1"/>
      <c r="M36" s="51"/>
      <c r="N36" s="51"/>
      <c r="O36" s="1"/>
      <c r="P36" s="16"/>
    </row>
    <row r="37" spans="2:17" x14ac:dyDescent="0.3">
      <c r="B37" s="11" t="s">
        <v>5</v>
      </c>
      <c r="C37" s="92"/>
      <c r="D37" s="20"/>
      <c r="E37" s="20"/>
      <c r="F37" s="65" t="s">
        <v>61</v>
      </c>
      <c r="G37" s="106">
        <v>45277.67</v>
      </c>
      <c r="H37" s="23"/>
      <c r="I37" s="21"/>
      <c r="J37" s="21"/>
      <c r="K37" s="21"/>
      <c r="L37" s="21"/>
      <c r="M37" s="1"/>
      <c r="N37" s="50"/>
      <c r="O37" s="1"/>
      <c r="P37" s="1"/>
    </row>
    <row r="38" spans="2:17" x14ac:dyDescent="0.3">
      <c r="B38" s="11" t="s">
        <v>6</v>
      </c>
      <c r="C38" s="91">
        <f>ROUND((C36*C37),0)</f>
        <v>0</v>
      </c>
      <c r="D38" s="20"/>
      <c r="E38" s="54"/>
      <c r="F38" s="65" t="s">
        <v>62</v>
      </c>
      <c r="G38" s="106"/>
      <c r="H38" s="23"/>
      <c r="I38" s="1"/>
      <c r="J38" s="1"/>
      <c r="K38" s="1"/>
      <c r="L38" s="16"/>
      <c r="M38" s="16"/>
      <c r="N38" s="16"/>
      <c r="O38" s="1"/>
      <c r="P38" s="1"/>
    </row>
    <row r="39" spans="2:17" x14ac:dyDescent="0.3">
      <c r="B39" s="22"/>
      <c r="C39" s="22"/>
      <c r="D39" s="84"/>
      <c r="E39" s="20"/>
      <c r="F39" s="65" t="s">
        <v>63</v>
      </c>
      <c r="G39" s="65">
        <v>15400</v>
      </c>
      <c r="I39" s="52"/>
      <c r="J39" s="1"/>
      <c r="K39" s="21"/>
      <c r="L39" s="21"/>
      <c r="M39" s="1"/>
      <c r="O39" s="1"/>
      <c r="P39" s="1"/>
    </row>
    <row r="40" spans="2:17" ht="16.5" customHeight="1" x14ac:dyDescent="0.3">
      <c r="B40" s="108" t="s">
        <v>13</v>
      </c>
      <c r="C40" s="109"/>
      <c r="D40" s="110"/>
      <c r="E40" s="20"/>
      <c r="F40" s="65" t="s">
        <v>64</v>
      </c>
      <c r="G40" s="65">
        <v>4821</v>
      </c>
      <c r="I40" s="44"/>
      <c r="J40" s="1"/>
      <c r="K40" s="1"/>
      <c r="M40" s="1"/>
      <c r="N40" s="49"/>
      <c r="O40" s="1"/>
      <c r="P40" s="1"/>
    </row>
    <row r="41" spans="2:17" x14ac:dyDescent="0.3">
      <c r="B41" s="11" t="s">
        <v>9</v>
      </c>
      <c r="C41" s="91"/>
      <c r="D41" s="24"/>
      <c r="E41" s="3"/>
      <c r="F41" s="65" t="s">
        <v>65</v>
      </c>
      <c r="G41" s="65">
        <v>6908.5</v>
      </c>
      <c r="H41" s="1"/>
      <c r="I41" s="1"/>
      <c r="J41" s="1"/>
      <c r="K41" s="1"/>
      <c r="M41" s="49"/>
      <c r="O41" s="1"/>
      <c r="P41" s="1"/>
    </row>
    <row r="42" spans="2:17" x14ac:dyDescent="0.3">
      <c r="B42" s="11" t="s">
        <v>5</v>
      </c>
      <c r="C42" s="92"/>
      <c r="D42" s="14"/>
      <c r="E42" s="3"/>
      <c r="F42" s="64" t="s">
        <v>57</v>
      </c>
      <c r="G42" s="64">
        <f>SUM(G36:G41)</f>
        <v>88907.17</v>
      </c>
      <c r="H42" s="1"/>
      <c r="I42" s="1"/>
      <c r="J42" s="1"/>
      <c r="K42" s="1"/>
      <c r="M42" s="1"/>
      <c r="O42" s="1"/>
      <c r="P42" s="1"/>
    </row>
    <row r="43" spans="2:17" x14ac:dyDescent="0.3">
      <c r="B43" s="11" t="s">
        <v>6</v>
      </c>
      <c r="C43" s="91">
        <v>5000000</v>
      </c>
      <c r="D43" s="4"/>
      <c r="E43" s="3"/>
      <c r="G43" s="3"/>
      <c r="H43" s="1"/>
      <c r="I43" s="1"/>
      <c r="J43" s="1"/>
      <c r="K43" s="1"/>
      <c r="M43" s="21"/>
      <c r="N43" s="3"/>
      <c r="O43" s="1"/>
      <c r="P43" s="1"/>
    </row>
    <row r="44" spans="2:17" x14ac:dyDescent="0.3">
      <c r="D44" s="46"/>
      <c r="E44" s="4"/>
      <c r="F44" s="4"/>
      <c r="H44" s="10"/>
      <c r="J44" s="6"/>
      <c r="K44" s="6"/>
      <c r="N44" s="49"/>
      <c r="O44" s="1"/>
    </row>
    <row r="45" spans="2:17" x14ac:dyDescent="0.3">
      <c r="B45" s="102"/>
      <c r="C45" s="103"/>
      <c r="D45" s="86"/>
      <c r="E45" s="10"/>
      <c r="F45" s="3"/>
      <c r="G45" s="6"/>
      <c r="H45" s="6"/>
      <c r="I45" s="1"/>
      <c r="K45" s="10"/>
      <c r="L45" s="3"/>
      <c r="N45" s="21"/>
      <c r="P45" s="1"/>
    </row>
    <row r="46" spans="2:17" x14ac:dyDescent="0.3">
      <c r="B46" s="25" t="s">
        <v>11</v>
      </c>
      <c r="C46" s="99">
        <f>C6</f>
        <v>266721510</v>
      </c>
      <c r="D46" s="8"/>
      <c r="E46" s="8"/>
      <c r="F46" s="9"/>
      <c r="G46" s="9"/>
      <c r="H46" s="1"/>
      <c r="J46" s="7"/>
      <c r="L46" s="3"/>
      <c r="M46" s="49"/>
      <c r="O46" s="1"/>
      <c r="P46" s="1"/>
    </row>
    <row r="47" spans="2:17" x14ac:dyDescent="0.3">
      <c r="B47" s="25" t="s">
        <v>12</v>
      </c>
      <c r="C47" s="99">
        <f>O32</f>
        <v>134734378</v>
      </c>
      <c r="D47" s="8"/>
      <c r="E47" s="8"/>
      <c r="F47" s="47"/>
      <c r="G47" s="3"/>
      <c r="J47" s="9"/>
      <c r="L47" s="3"/>
      <c r="M47" s="49"/>
    </row>
    <row r="48" spans="2:17" ht="33" x14ac:dyDescent="0.3">
      <c r="B48" s="25" t="s">
        <v>23</v>
      </c>
      <c r="C48" s="99"/>
      <c r="D48" s="8"/>
      <c r="E48" s="8"/>
      <c r="F48" s="9"/>
      <c r="G48" s="9"/>
      <c r="J48" s="9"/>
      <c r="L48" s="3"/>
      <c r="M48" s="49"/>
      <c r="O48" s="1"/>
      <c r="P48" s="1"/>
    </row>
    <row r="49" spans="2:16" x14ac:dyDescent="0.3">
      <c r="B49" s="25" t="s">
        <v>10</v>
      </c>
      <c r="C49" s="99">
        <f>C43</f>
        <v>5000000</v>
      </c>
      <c r="D49" s="8"/>
      <c r="E49" s="8"/>
      <c r="F49" s="9"/>
      <c r="G49" s="9"/>
      <c r="H49" s="1"/>
      <c r="J49" s="9"/>
      <c r="L49" s="3"/>
      <c r="O49" s="1"/>
      <c r="P49" s="1"/>
    </row>
    <row r="50" spans="2:16" ht="33" x14ac:dyDescent="0.3">
      <c r="B50" s="26" t="s">
        <v>27</v>
      </c>
      <c r="C50" s="100">
        <f>C46+C47+C48+C49</f>
        <v>406455888</v>
      </c>
      <c r="D50" s="7"/>
      <c r="E50" s="3"/>
      <c r="F50" s="13"/>
      <c r="G50" s="3" t="s">
        <v>28</v>
      </c>
      <c r="J50" s="1"/>
      <c r="L50" s="3"/>
      <c r="O50" s="1"/>
      <c r="P50" s="1"/>
    </row>
    <row r="51" spans="2:16" x14ac:dyDescent="0.3">
      <c r="B51" s="26" t="s">
        <v>7</v>
      </c>
      <c r="C51" s="100">
        <f>ROUND(C50*0.9,0)</f>
        <v>365810299</v>
      </c>
      <c r="D51" s="7"/>
      <c r="E51" s="3"/>
      <c r="G51" s="3"/>
      <c r="J51" s="1"/>
      <c r="L51" s="3"/>
      <c r="O51" s="1"/>
      <c r="P51" s="1"/>
    </row>
    <row r="52" spans="2:16" x14ac:dyDescent="0.3">
      <c r="B52" s="26" t="s">
        <v>8</v>
      </c>
      <c r="C52" s="100">
        <f>MROUND(C50*80%,1)</f>
        <v>325164710</v>
      </c>
      <c r="D52" s="7"/>
      <c r="E52" s="3"/>
      <c r="F52" s="13"/>
      <c r="G52" s="13"/>
      <c r="J52" s="1"/>
      <c r="L52" s="3"/>
      <c r="O52" s="1"/>
      <c r="P52" s="1"/>
    </row>
    <row r="53" spans="2:16" x14ac:dyDescent="0.3">
      <c r="B53" s="26" t="s">
        <v>24</v>
      </c>
      <c r="C53" s="100">
        <f>ROUND(P32*0.85,0)</f>
        <v>299909791</v>
      </c>
      <c r="D53" s="3"/>
      <c r="E53" s="3"/>
      <c r="F53" s="3"/>
      <c r="G53" s="3"/>
      <c r="J53" s="1"/>
      <c r="L53" s="3"/>
      <c r="M53" s="27"/>
      <c r="O53" s="1"/>
      <c r="P53" s="1"/>
    </row>
    <row r="54" spans="2:16" x14ac:dyDescent="0.3">
      <c r="B54" s="25" t="s">
        <v>25</v>
      </c>
      <c r="C54" s="100">
        <f>D6+C47</f>
        <v>372116522</v>
      </c>
      <c r="D54" s="3"/>
      <c r="E54" s="3"/>
      <c r="F54" s="3"/>
      <c r="G54" s="3"/>
      <c r="J54" s="1"/>
      <c r="L54" s="3"/>
      <c r="M54" s="27"/>
      <c r="O54" s="1"/>
      <c r="P54" s="1"/>
    </row>
    <row r="55" spans="2:16" x14ac:dyDescent="0.3">
      <c r="B55" s="89"/>
      <c r="C55" s="89"/>
      <c r="G55" s="47"/>
    </row>
    <row r="56" spans="2:16" x14ac:dyDescent="0.3">
      <c r="B56" s="89"/>
      <c r="C56" s="89"/>
      <c r="G56" s="47"/>
      <c r="N56" s="28"/>
    </row>
    <row r="57" spans="2:16" x14ac:dyDescent="0.3">
      <c r="B57" s="89"/>
      <c r="C57" s="89"/>
      <c r="N57" s="28"/>
    </row>
    <row r="58" spans="2:16" x14ac:dyDescent="0.3">
      <c r="B58" s="89"/>
      <c r="C58" s="89"/>
      <c r="N58" s="28"/>
    </row>
    <row r="59" spans="2:16" x14ac:dyDescent="0.3">
      <c r="B59" s="89"/>
      <c r="C59" s="89"/>
      <c r="N59" s="28"/>
    </row>
    <row r="60" spans="2:16" x14ac:dyDescent="0.3">
      <c r="B60" s="89"/>
      <c r="C60" s="89"/>
      <c r="N60" s="28"/>
    </row>
    <row r="61" spans="2:16" ht="16.5" customHeight="1" x14ac:dyDescent="0.3">
      <c r="B61" s="89"/>
      <c r="C61" s="89"/>
      <c r="N61" s="28"/>
    </row>
    <row r="62" spans="2:16" x14ac:dyDescent="0.3">
      <c r="B62" s="89"/>
      <c r="C62" s="89"/>
      <c r="N62" s="28"/>
    </row>
    <row r="63" spans="2:16" x14ac:dyDescent="0.3">
      <c r="B63" s="89"/>
      <c r="C63" s="89"/>
    </row>
    <row r="64" spans="2:16" x14ac:dyDescent="0.3">
      <c r="B64" s="89"/>
      <c r="C64" s="89"/>
    </row>
    <row r="65" spans="2:12" x14ac:dyDescent="0.3">
      <c r="B65" s="89"/>
      <c r="C65" s="89"/>
      <c r="D65" s="79"/>
    </row>
    <row r="66" spans="2:12" x14ac:dyDescent="0.3">
      <c r="B66" s="89"/>
      <c r="C66" s="89"/>
      <c r="D66" s="79"/>
    </row>
    <row r="67" spans="2:12" x14ac:dyDescent="0.3">
      <c r="B67" s="89"/>
      <c r="C67" s="89"/>
      <c r="D67" s="79"/>
    </row>
    <row r="68" spans="2:12" x14ac:dyDescent="0.3">
      <c r="B68" s="89"/>
      <c r="C68" s="89"/>
    </row>
    <row r="69" spans="2:12" x14ac:dyDescent="0.3">
      <c r="B69" s="89"/>
      <c r="C69" s="89"/>
      <c r="D69" s="79"/>
    </row>
    <row r="70" spans="2:12" x14ac:dyDescent="0.3">
      <c r="B70" s="89"/>
      <c r="C70" s="89"/>
      <c r="D70" s="79"/>
      <c r="G70" s="13"/>
      <c r="H70" s="13"/>
    </row>
    <row r="71" spans="2:12" x14ac:dyDescent="0.3">
      <c r="B71" s="89"/>
      <c r="C71" s="89"/>
      <c r="D71" s="79"/>
    </row>
    <row r="72" spans="2:12" x14ac:dyDescent="0.3">
      <c r="B72" s="89"/>
      <c r="C72" s="89"/>
      <c r="D72" s="79"/>
    </row>
    <row r="73" spans="2:12" x14ac:dyDescent="0.3">
      <c r="B73" s="89"/>
      <c r="C73" s="89"/>
      <c r="D73" s="79"/>
    </row>
    <row r="74" spans="2:12" x14ac:dyDescent="0.3">
      <c r="B74" s="89"/>
      <c r="C74" s="89"/>
      <c r="D74" s="79"/>
      <c r="H74" s="29"/>
      <c r="I74" s="29"/>
      <c r="J74" s="29"/>
      <c r="K74" s="29"/>
      <c r="L74" s="5"/>
    </row>
    <row r="75" spans="2:12" x14ac:dyDescent="0.3">
      <c r="B75" s="89"/>
      <c r="C75" s="89"/>
      <c r="D75" s="79"/>
      <c r="H75" s="27"/>
      <c r="I75" s="1"/>
      <c r="J75" s="27"/>
      <c r="K75" s="27"/>
    </row>
    <row r="76" spans="2:12" x14ac:dyDescent="0.3">
      <c r="B76" s="89"/>
      <c r="C76" s="89"/>
      <c r="D76" s="79"/>
      <c r="H76" s="27"/>
      <c r="I76" s="27"/>
      <c r="J76" s="37"/>
      <c r="K76" s="37"/>
    </row>
    <row r="77" spans="2:12" x14ac:dyDescent="0.3">
      <c r="B77" s="89"/>
      <c r="C77" s="89"/>
      <c r="D77" s="79"/>
      <c r="H77" s="27"/>
      <c r="I77" s="27"/>
      <c r="J77" s="27"/>
      <c r="K77" s="27"/>
    </row>
    <row r="78" spans="2:12" x14ac:dyDescent="0.3">
      <c r="B78" s="89"/>
      <c r="C78" s="89"/>
      <c r="D78" s="79"/>
      <c r="H78" s="27"/>
      <c r="I78" s="30"/>
      <c r="J78" s="27"/>
      <c r="K78" s="27"/>
    </row>
    <row r="79" spans="2:12" x14ac:dyDescent="0.3">
      <c r="B79" s="89"/>
      <c r="C79" s="89"/>
      <c r="D79" s="79"/>
      <c r="H79" s="27"/>
      <c r="I79" s="27"/>
      <c r="J79" s="27"/>
      <c r="K79" s="27"/>
    </row>
    <row r="80" spans="2:12" x14ac:dyDescent="0.3">
      <c r="B80" s="89"/>
      <c r="C80" s="89"/>
      <c r="D80" s="79"/>
      <c r="H80" s="27"/>
      <c r="I80" s="27"/>
      <c r="J80" s="27"/>
      <c r="K80" s="27"/>
    </row>
    <row r="81" spans="2:11" x14ac:dyDescent="0.3">
      <c r="B81" s="89"/>
      <c r="C81" s="89"/>
      <c r="D81" s="79"/>
      <c r="H81" s="27"/>
      <c r="I81" s="27"/>
      <c r="J81" s="27"/>
      <c r="K81" s="27"/>
    </row>
    <row r="82" spans="2:11" x14ac:dyDescent="0.3">
      <c r="B82" s="89"/>
      <c r="C82" s="89"/>
      <c r="D82" s="79"/>
      <c r="H82" s="27"/>
      <c r="I82" s="27"/>
      <c r="J82" s="27"/>
      <c r="K82" s="27"/>
    </row>
    <row r="83" spans="2:11" x14ac:dyDescent="0.3">
      <c r="B83" s="89"/>
      <c r="C83" s="89"/>
      <c r="D83" s="79"/>
      <c r="H83" s="27"/>
      <c r="I83" s="27"/>
      <c r="J83" s="27"/>
      <c r="K83" s="27"/>
    </row>
    <row r="84" spans="2:11" x14ac:dyDescent="0.3">
      <c r="B84" s="89"/>
      <c r="C84" s="89"/>
      <c r="D84" s="79"/>
      <c r="H84" s="27"/>
      <c r="I84" s="27"/>
      <c r="J84" s="27"/>
      <c r="K84" s="27"/>
    </row>
    <row r="85" spans="2:11" x14ac:dyDescent="0.3">
      <c r="B85" s="89"/>
      <c r="C85" s="89"/>
      <c r="D85" s="79"/>
    </row>
    <row r="86" spans="2:11" x14ac:dyDescent="0.3">
      <c r="B86" s="89"/>
      <c r="C86" s="89"/>
      <c r="D86" s="79"/>
    </row>
    <row r="87" spans="2:11" x14ac:dyDescent="0.3">
      <c r="B87" s="89"/>
      <c r="C87" s="89"/>
      <c r="D87" s="79"/>
    </row>
    <row r="88" spans="2:11" x14ac:dyDescent="0.3">
      <c r="B88" s="89"/>
      <c r="C88" s="89"/>
      <c r="D88" s="79"/>
    </row>
    <row r="89" spans="2:11" x14ac:dyDescent="0.3">
      <c r="B89" s="89"/>
      <c r="C89" s="89"/>
      <c r="D89" s="79"/>
    </row>
    <row r="90" spans="2:11" x14ac:dyDescent="0.3">
      <c r="B90" s="89"/>
      <c r="C90" s="89"/>
      <c r="D90" s="79"/>
      <c r="H90" s="31"/>
    </row>
    <row r="91" spans="2:11" x14ac:dyDescent="0.3">
      <c r="B91" s="89"/>
      <c r="C91" s="89"/>
      <c r="D91" s="79"/>
      <c r="H91" s="31"/>
    </row>
    <row r="92" spans="2:11" x14ac:dyDescent="0.3">
      <c r="B92" s="89"/>
      <c r="C92" s="89"/>
      <c r="D92" s="79"/>
      <c r="H92" s="31"/>
    </row>
    <row r="93" spans="2:11" x14ac:dyDescent="0.3">
      <c r="B93" s="89"/>
      <c r="C93" s="89"/>
      <c r="D93" s="79"/>
      <c r="H93" s="31"/>
    </row>
    <row r="94" spans="2:11" x14ac:dyDescent="0.3">
      <c r="B94" s="89"/>
      <c r="C94" s="89"/>
      <c r="D94" s="79"/>
      <c r="H94" s="31"/>
    </row>
    <row r="95" spans="2:11" x14ac:dyDescent="0.3">
      <c r="B95" s="89"/>
      <c r="C95" s="89"/>
      <c r="D95" s="79"/>
      <c r="H95" s="31"/>
    </row>
    <row r="96" spans="2:11" x14ac:dyDescent="0.3">
      <c r="B96" s="89"/>
      <c r="C96" s="89"/>
      <c r="D96" s="79"/>
      <c r="H96" s="31"/>
    </row>
    <row r="97" spans="2:8" x14ac:dyDescent="0.3">
      <c r="B97" s="89"/>
      <c r="C97" s="89"/>
      <c r="D97" s="79"/>
      <c r="H97" s="31"/>
    </row>
    <row r="98" spans="2:8" x14ac:dyDescent="0.3">
      <c r="B98" s="89"/>
      <c r="C98" s="89"/>
      <c r="D98" s="79"/>
      <c r="H98" s="31"/>
    </row>
    <row r="99" spans="2:8" x14ac:dyDescent="0.3">
      <c r="B99" s="89"/>
      <c r="C99" s="89"/>
      <c r="D99" s="79"/>
      <c r="H99" s="31"/>
    </row>
    <row r="100" spans="2:8" x14ac:dyDescent="0.3">
      <c r="B100" s="89"/>
      <c r="C100" s="89"/>
      <c r="D100" s="79"/>
    </row>
    <row r="101" spans="2:8" x14ac:dyDescent="0.3">
      <c r="B101" s="89"/>
      <c r="C101" s="89"/>
      <c r="D101" s="79"/>
    </row>
    <row r="102" spans="2:8" x14ac:dyDescent="0.3">
      <c r="B102" s="89">
        <f>3350000/300</f>
        <v>11166.666666666666</v>
      </c>
      <c r="C102" s="89"/>
      <c r="D102" s="79"/>
    </row>
    <row r="103" spans="2:8" x14ac:dyDescent="0.3">
      <c r="B103" s="89">
        <f>B102/10.764</f>
        <v>1037.4086461042982</v>
      </c>
      <c r="C103" s="89"/>
      <c r="D103" s="79"/>
    </row>
    <row r="104" spans="2:8" x14ac:dyDescent="0.3">
      <c r="B104" s="89"/>
      <c r="C104" s="89"/>
      <c r="D104" s="79"/>
    </row>
    <row r="105" spans="2:8" x14ac:dyDescent="0.3">
      <c r="B105" s="89"/>
      <c r="C105" s="89"/>
      <c r="D105" s="79"/>
    </row>
    <row r="106" spans="2:8" x14ac:dyDescent="0.3">
      <c r="B106" s="89"/>
      <c r="C106" s="89"/>
      <c r="D106" s="79"/>
    </row>
    <row r="107" spans="2:8" x14ac:dyDescent="0.3">
      <c r="B107" s="89"/>
      <c r="C107" s="89"/>
      <c r="D107" s="79"/>
    </row>
    <row r="108" spans="2:8" x14ac:dyDescent="0.3">
      <c r="B108" s="89"/>
      <c r="C108" s="89"/>
      <c r="D108" s="79"/>
    </row>
    <row r="109" spans="2:8" x14ac:dyDescent="0.3">
      <c r="B109" s="89"/>
      <c r="C109" s="89"/>
      <c r="D109" s="79"/>
    </row>
    <row r="110" spans="2:8" x14ac:dyDescent="0.3">
      <c r="B110" s="89"/>
      <c r="C110" s="89"/>
      <c r="D110" s="79"/>
    </row>
    <row r="111" spans="2:8" x14ac:dyDescent="0.3">
      <c r="B111" s="89"/>
      <c r="C111" s="89"/>
      <c r="D111" s="79"/>
    </row>
    <row r="112" spans="2:8" x14ac:dyDescent="0.3">
      <c r="B112" s="89"/>
      <c r="C112" s="89"/>
      <c r="D112" s="79"/>
    </row>
    <row r="113" spans="2:4" x14ac:dyDescent="0.3">
      <c r="B113" s="89"/>
      <c r="C113" s="89"/>
      <c r="D113" s="79"/>
    </row>
    <row r="114" spans="2:4" x14ac:dyDescent="0.3">
      <c r="B114" s="89"/>
      <c r="C114" s="89"/>
      <c r="D114" s="79"/>
    </row>
    <row r="115" spans="2:4" x14ac:dyDescent="0.3">
      <c r="B115" s="89"/>
      <c r="C115" s="89"/>
      <c r="D115" s="79"/>
    </row>
    <row r="116" spans="2:4" x14ac:dyDescent="0.3">
      <c r="B116" s="89"/>
      <c r="C116" s="89"/>
      <c r="D116" s="79"/>
    </row>
    <row r="117" spans="2:4" x14ac:dyDescent="0.3">
      <c r="B117" s="89"/>
      <c r="C117" s="89"/>
      <c r="D117" s="79"/>
    </row>
    <row r="118" spans="2:4" x14ac:dyDescent="0.3">
      <c r="B118" s="89"/>
      <c r="C118" s="89"/>
      <c r="D118" s="79"/>
    </row>
    <row r="119" spans="2:4" x14ac:dyDescent="0.3">
      <c r="B119" s="89"/>
      <c r="C119" s="89"/>
      <c r="D119" s="79"/>
    </row>
    <row r="120" spans="2:4" x14ac:dyDescent="0.3">
      <c r="B120" s="89"/>
      <c r="C120" s="89"/>
      <c r="D120" s="79"/>
    </row>
    <row r="121" spans="2:4" x14ac:dyDescent="0.3">
      <c r="B121" s="89"/>
      <c r="C121" s="89"/>
      <c r="D121" s="79"/>
    </row>
    <row r="122" spans="2:4" x14ac:dyDescent="0.3">
      <c r="B122" s="89"/>
      <c r="C122" s="89"/>
      <c r="D122" s="79"/>
    </row>
    <row r="123" spans="2:4" x14ac:dyDescent="0.3">
      <c r="B123" s="89"/>
      <c r="C123" s="89"/>
      <c r="D123" s="79"/>
    </row>
    <row r="124" spans="2:4" x14ac:dyDescent="0.3">
      <c r="B124" s="89"/>
      <c r="C124" s="89"/>
      <c r="D124" s="79"/>
    </row>
    <row r="125" spans="2:4" x14ac:dyDescent="0.3">
      <c r="B125" s="89"/>
      <c r="C125" s="89"/>
      <c r="D125" s="79"/>
    </row>
    <row r="126" spans="2:4" x14ac:dyDescent="0.3">
      <c r="B126" s="89"/>
      <c r="C126" s="89"/>
      <c r="D126" s="79"/>
    </row>
    <row r="127" spans="2:4" x14ac:dyDescent="0.3">
      <c r="B127" s="89"/>
      <c r="C127" s="89"/>
      <c r="D127" s="79"/>
    </row>
    <row r="128" spans="2:4" x14ac:dyDescent="0.3">
      <c r="B128" s="89"/>
      <c r="C128" s="89"/>
      <c r="D128" s="79"/>
    </row>
    <row r="129" spans="2:4" x14ac:dyDescent="0.3">
      <c r="B129" s="89"/>
      <c r="C129" s="89"/>
      <c r="D129" s="79"/>
    </row>
    <row r="130" spans="2:4" x14ac:dyDescent="0.3">
      <c r="B130" s="89"/>
      <c r="C130" s="89"/>
      <c r="D130" s="79"/>
    </row>
    <row r="131" spans="2:4" x14ac:dyDescent="0.3">
      <c r="B131" s="89"/>
      <c r="C131" s="89"/>
      <c r="D131" s="79"/>
    </row>
    <row r="132" spans="2:4" x14ac:dyDescent="0.3">
      <c r="B132" s="89"/>
      <c r="C132" s="89"/>
      <c r="D132" s="79"/>
    </row>
    <row r="133" spans="2:4" x14ac:dyDescent="0.3">
      <c r="B133" s="89"/>
      <c r="C133" s="89"/>
      <c r="D133" s="79">
        <f>1969*10.764</f>
        <v>21194.315999999999</v>
      </c>
    </row>
    <row r="134" spans="2:4" x14ac:dyDescent="0.3">
      <c r="B134" s="89"/>
      <c r="C134" s="89"/>
      <c r="D134" s="79"/>
    </row>
    <row r="135" spans="2:4" x14ac:dyDescent="0.3">
      <c r="B135" s="89"/>
      <c r="C135" s="89"/>
      <c r="D135" s="79"/>
    </row>
    <row r="136" spans="2:4" x14ac:dyDescent="0.3">
      <c r="B136" s="89"/>
      <c r="C136" s="89"/>
      <c r="D136" s="79"/>
    </row>
    <row r="137" spans="2:4" x14ac:dyDescent="0.3">
      <c r="B137" s="89"/>
      <c r="C137" s="89"/>
      <c r="D137" s="79"/>
    </row>
    <row r="138" spans="2:4" x14ac:dyDescent="0.3">
      <c r="B138" s="89"/>
      <c r="C138" s="89"/>
      <c r="D138" s="79"/>
    </row>
    <row r="139" spans="2:4" x14ac:dyDescent="0.3">
      <c r="B139" s="89"/>
      <c r="C139" s="89"/>
      <c r="D139" s="79"/>
    </row>
    <row r="140" spans="2:4" x14ac:dyDescent="0.3">
      <c r="B140" s="89"/>
      <c r="C140" s="89"/>
      <c r="D140" s="79"/>
    </row>
    <row r="141" spans="2:4" x14ac:dyDescent="0.3">
      <c r="B141" s="89"/>
      <c r="C141" s="89"/>
      <c r="D141" s="79"/>
    </row>
    <row r="142" spans="2:4" x14ac:dyDescent="0.3">
      <c r="B142" s="89"/>
      <c r="C142" s="89"/>
      <c r="D142" s="79"/>
    </row>
    <row r="143" spans="2:4" x14ac:dyDescent="0.3">
      <c r="B143" s="89"/>
      <c r="C143" s="89"/>
      <c r="D143" s="79"/>
    </row>
    <row r="144" spans="2:4" x14ac:dyDescent="0.3">
      <c r="B144" s="89"/>
      <c r="C144" s="89"/>
      <c r="D144" s="79"/>
    </row>
    <row r="145" spans="2:4" x14ac:dyDescent="0.3">
      <c r="B145" s="89"/>
      <c r="C145" s="89"/>
      <c r="D145" s="79"/>
    </row>
    <row r="146" spans="2:4" x14ac:dyDescent="0.3">
      <c r="B146" s="89"/>
      <c r="C146" s="89"/>
      <c r="D146" s="79"/>
    </row>
    <row r="147" spans="2:4" x14ac:dyDescent="0.3">
      <c r="B147" s="89"/>
      <c r="C147" s="89"/>
      <c r="D147" s="79"/>
    </row>
    <row r="148" spans="2:4" x14ac:dyDescent="0.3">
      <c r="B148" s="89"/>
      <c r="C148" s="89"/>
      <c r="D148" s="79"/>
    </row>
    <row r="149" spans="2:4" x14ac:dyDescent="0.3">
      <c r="B149" s="89"/>
      <c r="C149" s="89"/>
      <c r="D149" s="79"/>
    </row>
    <row r="150" spans="2:4" x14ac:dyDescent="0.3">
      <c r="B150" s="89"/>
      <c r="C150" s="89"/>
      <c r="D150" s="79"/>
    </row>
    <row r="151" spans="2:4" x14ac:dyDescent="0.3">
      <c r="B151" s="89"/>
      <c r="C151" s="89"/>
      <c r="D151" s="79"/>
    </row>
    <row r="152" spans="2:4" x14ac:dyDescent="0.3">
      <c r="B152" s="89"/>
      <c r="C152" s="89"/>
      <c r="D152" s="79"/>
    </row>
    <row r="153" spans="2:4" x14ac:dyDescent="0.3">
      <c r="B153" s="89"/>
      <c r="C153" s="89"/>
      <c r="D153" s="79"/>
    </row>
    <row r="154" spans="2:4" x14ac:dyDescent="0.3">
      <c r="B154" s="89"/>
      <c r="C154" s="89"/>
      <c r="D154" s="79"/>
    </row>
    <row r="155" spans="2:4" x14ac:dyDescent="0.3">
      <c r="B155" s="89"/>
      <c r="C155" s="89"/>
      <c r="D155" s="79"/>
    </row>
    <row r="156" spans="2:4" x14ac:dyDescent="0.3">
      <c r="B156" s="89"/>
      <c r="C156" s="89"/>
      <c r="D156" s="79"/>
    </row>
    <row r="157" spans="2:4" x14ac:dyDescent="0.3">
      <c r="B157" s="89"/>
      <c r="C157" s="89"/>
      <c r="D157" s="79"/>
    </row>
    <row r="158" spans="2:4" x14ac:dyDescent="0.3">
      <c r="B158" s="89"/>
      <c r="C158" s="89"/>
      <c r="D158" s="79"/>
    </row>
    <row r="159" spans="2:4" x14ac:dyDescent="0.3">
      <c r="B159" s="89"/>
      <c r="C159" s="89"/>
      <c r="D159" s="79"/>
    </row>
    <row r="160" spans="2:4" x14ac:dyDescent="0.3">
      <c r="B160" s="89"/>
      <c r="C160" s="89"/>
      <c r="D160" s="79"/>
    </row>
    <row r="161" spans="2:4" x14ac:dyDescent="0.3">
      <c r="B161" s="89"/>
      <c r="C161" s="89"/>
      <c r="D161" s="79"/>
    </row>
    <row r="162" spans="2:4" x14ac:dyDescent="0.3">
      <c r="B162" s="89"/>
      <c r="C162" s="89"/>
      <c r="D162" s="79"/>
    </row>
    <row r="163" spans="2:4" x14ac:dyDescent="0.3">
      <c r="B163" s="89"/>
      <c r="C163" s="89"/>
      <c r="D163" s="79"/>
    </row>
    <row r="164" spans="2:4" x14ac:dyDescent="0.3">
      <c r="B164" s="89"/>
      <c r="C164" s="89"/>
      <c r="D164" s="79"/>
    </row>
    <row r="165" spans="2:4" x14ac:dyDescent="0.3">
      <c r="B165" s="89"/>
      <c r="C165" s="89"/>
      <c r="D165" s="79"/>
    </row>
    <row r="166" spans="2:4" x14ac:dyDescent="0.3">
      <c r="B166" s="89"/>
      <c r="C166" s="89"/>
      <c r="D166" s="79"/>
    </row>
    <row r="167" spans="2:4" x14ac:dyDescent="0.3">
      <c r="B167" s="89"/>
      <c r="C167" s="89"/>
      <c r="D167" s="79"/>
    </row>
    <row r="168" spans="2:4" x14ac:dyDescent="0.3">
      <c r="B168" s="89"/>
      <c r="C168" s="89"/>
      <c r="D168" s="79"/>
    </row>
    <row r="169" spans="2:4" x14ac:dyDescent="0.3">
      <c r="B169" s="89"/>
      <c r="C169" s="89"/>
      <c r="D169" s="79"/>
    </row>
    <row r="170" spans="2:4" x14ac:dyDescent="0.3">
      <c r="B170" s="89"/>
      <c r="C170" s="89"/>
      <c r="D170" s="79"/>
    </row>
    <row r="171" spans="2:4" x14ac:dyDescent="0.3">
      <c r="B171" s="89"/>
      <c r="C171" s="89"/>
      <c r="D171" s="79"/>
    </row>
    <row r="172" spans="2:4" x14ac:dyDescent="0.3">
      <c r="B172" s="89"/>
      <c r="C172" s="89"/>
      <c r="D172" s="79"/>
    </row>
    <row r="173" spans="2:4" x14ac:dyDescent="0.3">
      <c r="B173" s="89"/>
      <c r="C173" s="89"/>
      <c r="D173" s="79"/>
    </row>
    <row r="174" spans="2:4" x14ac:dyDescent="0.3">
      <c r="B174" s="89"/>
      <c r="C174" s="89"/>
      <c r="D174" s="79"/>
    </row>
    <row r="175" spans="2:4" x14ac:dyDescent="0.3">
      <c r="B175" s="89"/>
      <c r="C175" s="89"/>
      <c r="D175" s="79"/>
    </row>
    <row r="176" spans="2:4" x14ac:dyDescent="0.3">
      <c r="B176" s="89"/>
      <c r="C176" s="89"/>
      <c r="D176" s="79"/>
    </row>
    <row r="177" spans="2:4" x14ac:dyDescent="0.3">
      <c r="B177" s="89"/>
      <c r="C177" s="89"/>
      <c r="D177" s="79"/>
    </row>
    <row r="178" spans="2:4" x14ac:dyDescent="0.3">
      <c r="B178" s="89"/>
      <c r="C178" s="89"/>
      <c r="D178" s="79"/>
    </row>
    <row r="179" spans="2:4" x14ac:dyDescent="0.3">
      <c r="B179" s="89"/>
      <c r="C179" s="89"/>
      <c r="D179" s="79"/>
    </row>
    <row r="180" spans="2:4" x14ac:dyDescent="0.3">
      <c r="B180" s="89"/>
      <c r="C180" s="89"/>
      <c r="D180" s="79"/>
    </row>
    <row r="181" spans="2:4" x14ac:dyDescent="0.3">
      <c r="B181" s="89"/>
      <c r="C181" s="89"/>
      <c r="D181" s="79"/>
    </row>
    <row r="182" spans="2:4" x14ac:dyDescent="0.3">
      <c r="B182" s="89"/>
      <c r="C182" s="89"/>
      <c r="D182" s="79"/>
    </row>
    <row r="183" spans="2:4" x14ac:dyDescent="0.3">
      <c r="B183" s="89"/>
      <c r="C183" s="89"/>
      <c r="D183" s="79"/>
    </row>
    <row r="184" spans="2:4" x14ac:dyDescent="0.3">
      <c r="B184" s="89"/>
      <c r="C184" s="89"/>
      <c r="D184" s="79"/>
    </row>
    <row r="185" spans="2:4" x14ac:dyDescent="0.3">
      <c r="B185" s="89"/>
      <c r="C185" s="89"/>
      <c r="D185" s="79"/>
    </row>
    <row r="186" spans="2:4" x14ac:dyDescent="0.3">
      <c r="B186" s="89"/>
      <c r="C186" s="89"/>
      <c r="D186" s="79"/>
    </row>
    <row r="187" spans="2:4" x14ac:dyDescent="0.3">
      <c r="B187" s="89"/>
      <c r="C187" s="89"/>
      <c r="D187" s="79"/>
    </row>
    <row r="188" spans="2:4" x14ac:dyDescent="0.3">
      <c r="B188" s="89"/>
      <c r="C188" s="89"/>
      <c r="D188" s="79"/>
    </row>
    <row r="189" spans="2:4" x14ac:dyDescent="0.3">
      <c r="B189" s="89"/>
      <c r="C189" s="89"/>
      <c r="D189" s="79"/>
    </row>
    <row r="190" spans="2:4" x14ac:dyDescent="0.3">
      <c r="B190" s="89"/>
      <c r="C190" s="89"/>
      <c r="D190" s="79"/>
    </row>
  </sheetData>
  <mergeCells count="6">
    <mergeCell ref="B45:C45"/>
    <mergeCell ref="B1:H1"/>
    <mergeCell ref="G37:G38"/>
    <mergeCell ref="B35:D35"/>
    <mergeCell ref="B40:D40"/>
    <mergeCell ref="B8:D8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N14:P15"/>
  <sheetViews>
    <sheetView workbookViewId="0">
      <selection activeCell="B3" sqref="B3"/>
    </sheetView>
  </sheetViews>
  <sheetFormatPr defaultRowHeight="15" x14ac:dyDescent="0.25"/>
  <sheetData>
    <row r="14" spans="14:16" x14ac:dyDescent="0.25">
      <c r="N14">
        <f>13000000/19000</f>
        <v>684.21052631578948</v>
      </c>
      <c r="O14" t="s">
        <v>34</v>
      </c>
    </row>
    <row r="15" spans="14:16" x14ac:dyDescent="0.25">
      <c r="N15" s="53">
        <f>N14*10.764</f>
        <v>7364.8421052631575</v>
      </c>
      <c r="O15" s="53" t="s">
        <v>32</v>
      </c>
      <c r="P15" s="5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B2:I68"/>
  <sheetViews>
    <sheetView zoomScaleNormal="100" workbookViewId="0">
      <selection activeCell="E16" sqref="E16:E22"/>
    </sheetView>
  </sheetViews>
  <sheetFormatPr defaultRowHeight="16.5" x14ac:dyDescent="0.25"/>
  <cols>
    <col min="1" max="1" width="3.28515625" style="66" customWidth="1"/>
    <col min="2" max="2" width="30.28515625" style="66" customWidth="1"/>
    <col min="3" max="3" width="14.7109375" style="69" bestFit="1" customWidth="1"/>
    <col min="4" max="4" width="32.140625" style="67" customWidth="1"/>
    <col min="5" max="5" width="9.140625" style="67"/>
    <col min="6" max="6" width="11.5703125" style="66" bestFit="1" customWidth="1"/>
    <col min="7" max="7" width="12.7109375" style="67" bestFit="1" customWidth="1"/>
    <col min="8" max="8" width="19.7109375" style="66" customWidth="1"/>
    <col min="9" max="9" width="20.7109375" style="66" customWidth="1"/>
    <col min="10" max="16384" width="9.140625" style="66"/>
  </cols>
  <sheetData>
    <row r="2" spans="2:9" s="77" customFormat="1" ht="15.75" x14ac:dyDescent="0.25">
      <c r="B2" s="58" t="s">
        <v>66</v>
      </c>
      <c r="C2" s="76" t="s">
        <v>68</v>
      </c>
      <c r="D2" s="58" t="s">
        <v>67</v>
      </c>
      <c r="E2" s="58" t="s">
        <v>69</v>
      </c>
      <c r="F2" s="58" t="s">
        <v>70</v>
      </c>
      <c r="G2" s="58" t="s">
        <v>71</v>
      </c>
      <c r="H2" s="58" t="s">
        <v>72</v>
      </c>
      <c r="I2" s="58" t="s">
        <v>73</v>
      </c>
    </row>
    <row r="3" spans="2:9" s="72" customFormat="1" x14ac:dyDescent="0.25">
      <c r="B3" s="70" t="s">
        <v>74</v>
      </c>
      <c r="C3" s="106">
        <v>60365011</v>
      </c>
      <c r="D3" s="71" t="s">
        <v>75</v>
      </c>
      <c r="E3" s="112">
        <v>2007</v>
      </c>
      <c r="F3" s="112">
        <f>2024-E3</f>
        <v>17</v>
      </c>
      <c r="G3" s="112">
        <v>13</v>
      </c>
      <c r="H3" s="112"/>
      <c r="I3" s="112"/>
    </row>
    <row r="4" spans="2:9" s="72" customFormat="1" x14ac:dyDescent="0.25">
      <c r="B4" s="73" t="s">
        <v>76</v>
      </c>
      <c r="C4" s="106"/>
      <c r="D4" s="68" t="s">
        <v>77</v>
      </c>
      <c r="E4" s="113"/>
      <c r="F4" s="113"/>
      <c r="G4" s="113"/>
      <c r="H4" s="113"/>
      <c r="I4" s="113"/>
    </row>
    <row r="5" spans="2:9" s="72" customFormat="1" x14ac:dyDescent="0.25">
      <c r="B5" s="70" t="s">
        <v>78</v>
      </c>
      <c r="C5" s="106"/>
      <c r="D5" s="71" t="s">
        <v>79</v>
      </c>
      <c r="E5" s="113"/>
      <c r="F5" s="113"/>
      <c r="G5" s="113"/>
      <c r="H5" s="113"/>
      <c r="I5" s="113"/>
    </row>
    <row r="6" spans="2:9" s="72" customFormat="1" x14ac:dyDescent="0.25">
      <c r="B6" s="70" t="s">
        <v>80</v>
      </c>
      <c r="C6" s="106"/>
      <c r="D6" s="71" t="s">
        <v>79</v>
      </c>
      <c r="E6" s="113"/>
      <c r="F6" s="113"/>
      <c r="G6" s="113"/>
      <c r="H6" s="113"/>
      <c r="I6" s="113"/>
    </row>
    <row r="7" spans="2:9" s="72" customFormat="1" x14ac:dyDescent="0.25">
      <c r="B7" s="70" t="s">
        <v>81</v>
      </c>
      <c r="C7" s="106"/>
      <c r="D7" s="71" t="s">
        <v>79</v>
      </c>
      <c r="E7" s="113"/>
      <c r="F7" s="113"/>
      <c r="G7" s="113"/>
      <c r="H7" s="113"/>
      <c r="I7" s="113"/>
    </row>
    <row r="8" spans="2:9" s="72" customFormat="1" x14ac:dyDescent="0.25">
      <c r="B8" s="70" t="s">
        <v>82</v>
      </c>
      <c r="C8" s="106"/>
      <c r="D8" s="71" t="s">
        <v>79</v>
      </c>
      <c r="E8" s="113"/>
      <c r="F8" s="113"/>
      <c r="G8" s="113"/>
      <c r="H8" s="113"/>
      <c r="I8" s="113"/>
    </row>
    <row r="9" spans="2:9" s="72" customFormat="1" x14ac:dyDescent="0.25">
      <c r="B9" s="70" t="s">
        <v>83</v>
      </c>
      <c r="C9" s="106"/>
      <c r="D9" s="71" t="s">
        <v>79</v>
      </c>
      <c r="E9" s="113"/>
      <c r="F9" s="113"/>
      <c r="G9" s="113"/>
      <c r="H9" s="113"/>
      <c r="I9" s="113"/>
    </row>
    <row r="10" spans="2:9" s="72" customFormat="1" x14ac:dyDescent="0.25">
      <c r="B10" s="70" t="s">
        <v>84</v>
      </c>
      <c r="C10" s="106"/>
      <c r="D10" s="71" t="s">
        <v>79</v>
      </c>
      <c r="E10" s="113"/>
      <c r="F10" s="113"/>
      <c r="G10" s="113"/>
      <c r="H10" s="113"/>
      <c r="I10" s="113"/>
    </row>
    <row r="11" spans="2:9" s="72" customFormat="1" x14ac:dyDescent="0.25">
      <c r="B11" s="70" t="s">
        <v>85</v>
      </c>
      <c r="C11" s="106"/>
      <c r="D11" s="71" t="s">
        <v>79</v>
      </c>
      <c r="E11" s="113"/>
      <c r="F11" s="113"/>
      <c r="G11" s="113"/>
      <c r="H11" s="113"/>
      <c r="I11" s="113"/>
    </row>
    <row r="12" spans="2:9" s="72" customFormat="1" x14ac:dyDescent="0.25">
      <c r="B12" s="70" t="s">
        <v>86</v>
      </c>
      <c r="C12" s="106"/>
      <c r="D12" s="71" t="s">
        <v>87</v>
      </c>
      <c r="E12" s="113"/>
      <c r="F12" s="113"/>
      <c r="G12" s="113"/>
      <c r="H12" s="113"/>
      <c r="I12" s="113"/>
    </row>
    <row r="13" spans="2:9" s="72" customFormat="1" x14ac:dyDescent="0.25">
      <c r="B13" s="70" t="s">
        <v>88</v>
      </c>
      <c r="C13" s="106"/>
      <c r="D13" s="71" t="s">
        <v>89</v>
      </c>
      <c r="E13" s="113"/>
      <c r="F13" s="113"/>
      <c r="G13" s="113"/>
      <c r="H13" s="113"/>
      <c r="I13" s="113"/>
    </row>
    <row r="14" spans="2:9" s="72" customFormat="1" x14ac:dyDescent="0.25">
      <c r="B14" s="70" t="s">
        <v>90</v>
      </c>
      <c r="C14" s="106"/>
      <c r="D14" s="71" t="s">
        <v>91</v>
      </c>
      <c r="E14" s="113"/>
      <c r="F14" s="113"/>
      <c r="G14" s="113"/>
      <c r="H14" s="113"/>
      <c r="I14" s="113"/>
    </row>
    <row r="15" spans="2:9" s="72" customFormat="1" x14ac:dyDescent="0.25">
      <c r="B15" s="70" t="s">
        <v>90</v>
      </c>
      <c r="C15" s="106"/>
      <c r="D15" s="71" t="s">
        <v>91</v>
      </c>
      <c r="E15" s="114"/>
      <c r="F15" s="114"/>
      <c r="G15" s="114"/>
      <c r="H15" s="114"/>
      <c r="I15" s="114"/>
    </row>
    <row r="16" spans="2:9" s="72" customFormat="1" x14ac:dyDescent="0.25">
      <c r="B16" s="70" t="s">
        <v>92</v>
      </c>
      <c r="C16" s="106">
        <v>119655867</v>
      </c>
      <c r="D16" s="71" t="s">
        <v>93</v>
      </c>
      <c r="E16" s="112">
        <v>2007</v>
      </c>
      <c r="F16" s="112">
        <f t="shared" ref="F16:F67" si="0">2024-E16</f>
        <v>17</v>
      </c>
      <c r="G16" s="112">
        <v>13</v>
      </c>
      <c r="H16" s="112"/>
      <c r="I16" s="112"/>
    </row>
    <row r="17" spans="2:9" s="72" customFormat="1" x14ac:dyDescent="0.25">
      <c r="B17" s="70" t="s">
        <v>94</v>
      </c>
      <c r="C17" s="106"/>
      <c r="D17" s="71" t="s">
        <v>95</v>
      </c>
      <c r="E17" s="113"/>
      <c r="F17" s="113"/>
      <c r="G17" s="113"/>
      <c r="H17" s="113"/>
      <c r="I17" s="113"/>
    </row>
    <row r="18" spans="2:9" s="72" customFormat="1" x14ac:dyDescent="0.25">
      <c r="B18" s="70" t="s">
        <v>96</v>
      </c>
      <c r="C18" s="106"/>
      <c r="D18" s="71" t="s">
        <v>93</v>
      </c>
      <c r="E18" s="113"/>
      <c r="F18" s="113"/>
      <c r="G18" s="113"/>
      <c r="H18" s="113"/>
      <c r="I18" s="113"/>
    </row>
    <row r="19" spans="2:9" s="72" customFormat="1" x14ac:dyDescent="0.25">
      <c r="B19" s="70" t="s">
        <v>97</v>
      </c>
      <c r="C19" s="106"/>
      <c r="D19" s="71" t="s">
        <v>95</v>
      </c>
      <c r="E19" s="113"/>
      <c r="F19" s="113"/>
      <c r="G19" s="113"/>
      <c r="H19" s="113"/>
      <c r="I19" s="113"/>
    </row>
    <row r="20" spans="2:9" s="72" customFormat="1" x14ac:dyDescent="0.25">
      <c r="B20" s="70" t="s">
        <v>98</v>
      </c>
      <c r="C20" s="106"/>
      <c r="D20" s="71"/>
      <c r="E20" s="113"/>
      <c r="F20" s="113"/>
      <c r="G20" s="113"/>
      <c r="H20" s="113"/>
      <c r="I20" s="113"/>
    </row>
    <row r="21" spans="2:9" s="72" customFormat="1" x14ac:dyDescent="0.25">
      <c r="B21" s="70" t="s">
        <v>99</v>
      </c>
      <c r="C21" s="106"/>
      <c r="D21" s="71"/>
      <c r="E21" s="113"/>
      <c r="F21" s="113"/>
      <c r="G21" s="113"/>
      <c r="H21" s="113"/>
      <c r="I21" s="113"/>
    </row>
    <row r="22" spans="2:9" s="72" customFormat="1" x14ac:dyDescent="0.25">
      <c r="B22" s="70" t="s">
        <v>100</v>
      </c>
      <c r="C22" s="106"/>
      <c r="D22" s="71" t="s">
        <v>101</v>
      </c>
      <c r="E22" s="114"/>
      <c r="F22" s="114"/>
      <c r="G22" s="114"/>
      <c r="H22" s="114"/>
      <c r="I22" s="114"/>
    </row>
    <row r="23" spans="2:9" s="72" customFormat="1" x14ac:dyDescent="0.25">
      <c r="B23" s="70" t="s">
        <v>102</v>
      </c>
      <c r="C23" s="65">
        <v>8269982</v>
      </c>
      <c r="D23" s="71" t="s">
        <v>91</v>
      </c>
      <c r="E23" s="71">
        <v>2007</v>
      </c>
      <c r="F23" s="71">
        <f t="shared" si="0"/>
        <v>17</v>
      </c>
      <c r="G23" s="71">
        <v>13</v>
      </c>
      <c r="H23" s="71"/>
      <c r="I23" s="71"/>
    </row>
    <row r="24" spans="2:9" s="72" customFormat="1" x14ac:dyDescent="0.25">
      <c r="B24" s="70" t="s">
        <v>103</v>
      </c>
      <c r="C24" s="65">
        <v>23689764</v>
      </c>
      <c r="D24" s="71" t="s">
        <v>91</v>
      </c>
      <c r="E24" s="71">
        <v>2007</v>
      </c>
      <c r="F24" s="71">
        <f t="shared" si="0"/>
        <v>17</v>
      </c>
      <c r="G24" s="71">
        <v>13</v>
      </c>
      <c r="H24" s="71"/>
      <c r="I24" s="71"/>
    </row>
    <row r="25" spans="2:9" s="72" customFormat="1" x14ac:dyDescent="0.25">
      <c r="B25" s="70" t="s">
        <v>104</v>
      </c>
      <c r="C25" s="106">
        <v>2948033</v>
      </c>
      <c r="D25" s="71" t="s">
        <v>91</v>
      </c>
      <c r="E25" s="71">
        <v>2007</v>
      </c>
      <c r="F25" s="71">
        <f t="shared" si="0"/>
        <v>17</v>
      </c>
      <c r="G25" s="71">
        <v>13</v>
      </c>
      <c r="H25" s="71"/>
      <c r="I25" s="71"/>
    </row>
    <row r="26" spans="2:9" s="72" customFormat="1" x14ac:dyDescent="0.25">
      <c r="B26" s="70" t="s">
        <v>105</v>
      </c>
      <c r="C26" s="106"/>
      <c r="D26" s="71" t="s">
        <v>91</v>
      </c>
      <c r="E26" s="71">
        <v>2007</v>
      </c>
      <c r="F26" s="71">
        <f t="shared" si="0"/>
        <v>17</v>
      </c>
      <c r="G26" s="71">
        <v>13</v>
      </c>
      <c r="H26" s="71"/>
      <c r="I26" s="71"/>
    </row>
    <row r="27" spans="2:9" s="72" customFormat="1" x14ac:dyDescent="0.25">
      <c r="B27" s="70" t="s">
        <v>106</v>
      </c>
      <c r="C27" s="106">
        <v>1425589</v>
      </c>
      <c r="D27" s="71" t="s">
        <v>107</v>
      </c>
      <c r="E27" s="71">
        <v>2007</v>
      </c>
      <c r="F27" s="71">
        <f t="shared" si="0"/>
        <v>17</v>
      </c>
      <c r="G27" s="71">
        <v>13</v>
      </c>
      <c r="H27" s="71"/>
      <c r="I27" s="71"/>
    </row>
    <row r="28" spans="2:9" s="72" customFormat="1" x14ac:dyDescent="0.25">
      <c r="B28" s="70" t="s">
        <v>106</v>
      </c>
      <c r="C28" s="106"/>
      <c r="D28" s="71" t="s">
        <v>107</v>
      </c>
      <c r="E28" s="71">
        <v>2007</v>
      </c>
      <c r="F28" s="71">
        <f t="shared" si="0"/>
        <v>17</v>
      </c>
      <c r="G28" s="71">
        <v>13</v>
      </c>
      <c r="H28" s="71"/>
      <c r="I28" s="71"/>
    </row>
    <row r="29" spans="2:9" s="72" customFormat="1" x14ac:dyDescent="0.25">
      <c r="B29" s="70" t="s">
        <v>108</v>
      </c>
      <c r="C29" s="106">
        <v>3441399</v>
      </c>
      <c r="D29" s="71" t="s">
        <v>109</v>
      </c>
      <c r="E29" s="71">
        <v>2015</v>
      </c>
      <c r="F29" s="71">
        <f t="shared" si="0"/>
        <v>9</v>
      </c>
      <c r="G29" s="71">
        <v>6</v>
      </c>
      <c r="H29" s="71"/>
      <c r="I29" s="71"/>
    </row>
    <row r="30" spans="2:9" s="72" customFormat="1" x14ac:dyDescent="0.25">
      <c r="B30" s="70" t="s">
        <v>108</v>
      </c>
      <c r="C30" s="106"/>
      <c r="D30" s="71" t="s">
        <v>109</v>
      </c>
      <c r="E30" s="71">
        <v>2015</v>
      </c>
      <c r="F30" s="71">
        <f t="shared" si="0"/>
        <v>9</v>
      </c>
      <c r="G30" s="71">
        <v>6</v>
      </c>
      <c r="H30" s="71"/>
      <c r="I30" s="71"/>
    </row>
    <row r="31" spans="2:9" x14ac:dyDescent="0.25">
      <c r="B31" s="70" t="s">
        <v>108</v>
      </c>
      <c r="C31" s="106"/>
      <c r="D31" s="71" t="s">
        <v>109</v>
      </c>
      <c r="E31" s="71">
        <v>2015</v>
      </c>
      <c r="F31" s="71">
        <f t="shared" si="0"/>
        <v>9</v>
      </c>
      <c r="G31" s="71">
        <v>6</v>
      </c>
      <c r="H31" s="74"/>
      <c r="I31" s="74"/>
    </row>
    <row r="32" spans="2:9" x14ac:dyDescent="0.25">
      <c r="B32" s="74" t="s">
        <v>110</v>
      </c>
      <c r="C32" s="106">
        <v>43961940</v>
      </c>
      <c r="D32" s="115" t="s">
        <v>111</v>
      </c>
      <c r="E32" s="115">
        <v>2017</v>
      </c>
      <c r="F32" s="112">
        <f t="shared" si="0"/>
        <v>7</v>
      </c>
      <c r="G32" s="112">
        <v>23</v>
      </c>
      <c r="H32" s="112"/>
      <c r="I32" s="112"/>
    </row>
    <row r="33" spans="2:9" x14ac:dyDescent="0.25">
      <c r="B33" s="74" t="s">
        <v>112</v>
      </c>
      <c r="C33" s="106"/>
      <c r="D33" s="115"/>
      <c r="E33" s="115"/>
      <c r="F33" s="114"/>
      <c r="G33" s="114"/>
      <c r="H33" s="114"/>
      <c r="I33" s="114"/>
    </row>
    <row r="34" spans="2:9" x14ac:dyDescent="0.25">
      <c r="B34" s="74" t="s">
        <v>113</v>
      </c>
      <c r="C34" s="65">
        <v>4408868</v>
      </c>
      <c r="D34" s="71" t="s">
        <v>111</v>
      </c>
      <c r="E34" s="71">
        <v>2007</v>
      </c>
      <c r="F34" s="71">
        <f t="shared" si="0"/>
        <v>17</v>
      </c>
      <c r="G34" s="71">
        <v>13</v>
      </c>
      <c r="H34" s="74"/>
      <c r="I34" s="74"/>
    </row>
    <row r="35" spans="2:9" x14ac:dyDescent="0.25">
      <c r="B35" s="74" t="s">
        <v>114</v>
      </c>
      <c r="C35" s="106">
        <v>1061263</v>
      </c>
      <c r="D35" s="112"/>
      <c r="E35" s="115">
        <v>2007</v>
      </c>
      <c r="F35" s="112">
        <f t="shared" si="0"/>
        <v>17</v>
      </c>
      <c r="G35" s="112">
        <v>13</v>
      </c>
      <c r="H35" s="112"/>
      <c r="I35" s="112"/>
    </row>
    <row r="36" spans="2:9" x14ac:dyDescent="0.25">
      <c r="B36" s="74" t="s">
        <v>115</v>
      </c>
      <c r="C36" s="106"/>
      <c r="D36" s="113"/>
      <c r="E36" s="115"/>
      <c r="F36" s="113"/>
      <c r="G36" s="113"/>
      <c r="H36" s="113"/>
      <c r="I36" s="113"/>
    </row>
    <row r="37" spans="2:9" x14ac:dyDescent="0.25">
      <c r="B37" s="74" t="s">
        <v>116</v>
      </c>
      <c r="C37" s="106"/>
      <c r="D37" s="113"/>
      <c r="E37" s="115"/>
      <c r="F37" s="113"/>
      <c r="G37" s="113"/>
      <c r="H37" s="113"/>
      <c r="I37" s="113"/>
    </row>
    <row r="38" spans="2:9" x14ac:dyDescent="0.25">
      <c r="B38" s="74" t="s">
        <v>117</v>
      </c>
      <c r="C38" s="106"/>
      <c r="D38" s="113"/>
      <c r="E38" s="115"/>
      <c r="F38" s="113"/>
      <c r="G38" s="113"/>
      <c r="H38" s="113"/>
      <c r="I38" s="113"/>
    </row>
    <row r="39" spans="2:9" x14ac:dyDescent="0.25">
      <c r="B39" s="74" t="s">
        <v>118</v>
      </c>
      <c r="C39" s="106"/>
      <c r="D39" s="113"/>
      <c r="E39" s="115"/>
      <c r="F39" s="113"/>
      <c r="G39" s="113"/>
      <c r="H39" s="113"/>
      <c r="I39" s="113"/>
    </row>
    <row r="40" spans="2:9" x14ac:dyDescent="0.25">
      <c r="B40" s="74" t="s">
        <v>119</v>
      </c>
      <c r="C40" s="106"/>
      <c r="D40" s="114"/>
      <c r="E40" s="115"/>
      <c r="F40" s="114"/>
      <c r="G40" s="114"/>
      <c r="H40" s="114"/>
      <c r="I40" s="114"/>
    </row>
    <row r="41" spans="2:9" x14ac:dyDescent="0.25">
      <c r="B41" s="74" t="s">
        <v>120</v>
      </c>
      <c r="C41" s="65">
        <v>500000</v>
      </c>
      <c r="D41" s="71" t="s">
        <v>121</v>
      </c>
      <c r="E41" s="71">
        <v>1995</v>
      </c>
      <c r="F41" s="71">
        <f t="shared" si="0"/>
        <v>29</v>
      </c>
      <c r="G41" s="71"/>
      <c r="H41" s="74"/>
      <c r="I41" s="74"/>
    </row>
    <row r="42" spans="2:9" x14ac:dyDescent="0.25">
      <c r="B42" s="74" t="s">
        <v>122</v>
      </c>
      <c r="C42" s="65">
        <v>33735</v>
      </c>
      <c r="D42" s="71"/>
      <c r="E42" s="71">
        <v>2001</v>
      </c>
      <c r="F42" s="71">
        <f t="shared" si="0"/>
        <v>23</v>
      </c>
      <c r="G42" s="71"/>
      <c r="H42" s="74"/>
      <c r="I42" s="74"/>
    </row>
    <row r="43" spans="2:9" x14ac:dyDescent="0.25">
      <c r="B43" s="74" t="s">
        <v>123</v>
      </c>
      <c r="C43" s="65">
        <v>11176889</v>
      </c>
      <c r="D43" s="71" t="s">
        <v>124</v>
      </c>
      <c r="E43" s="71">
        <v>2001</v>
      </c>
      <c r="F43" s="71">
        <f t="shared" si="0"/>
        <v>23</v>
      </c>
      <c r="G43" s="71">
        <v>7</v>
      </c>
      <c r="H43" s="74"/>
      <c r="I43" s="74"/>
    </row>
    <row r="44" spans="2:9" x14ac:dyDescent="0.25">
      <c r="B44" s="74" t="s">
        <v>125</v>
      </c>
      <c r="C44" s="65">
        <v>830450</v>
      </c>
      <c r="D44" s="71" t="s">
        <v>126</v>
      </c>
      <c r="E44" s="71">
        <v>2015</v>
      </c>
      <c r="F44" s="71">
        <f t="shared" si="0"/>
        <v>9</v>
      </c>
      <c r="G44" s="71">
        <v>21</v>
      </c>
      <c r="H44" s="74"/>
      <c r="I44" s="74"/>
    </row>
    <row r="45" spans="2:9" x14ac:dyDescent="0.25">
      <c r="B45" s="74" t="s">
        <v>127</v>
      </c>
      <c r="C45" s="65">
        <v>1300000</v>
      </c>
      <c r="D45" s="71"/>
      <c r="E45" s="71">
        <v>1999</v>
      </c>
      <c r="F45" s="71">
        <f t="shared" si="0"/>
        <v>25</v>
      </c>
      <c r="G45" s="71"/>
      <c r="H45" s="74"/>
      <c r="I45" s="74"/>
    </row>
    <row r="46" spans="2:9" x14ac:dyDescent="0.25">
      <c r="B46" s="74" t="s">
        <v>128</v>
      </c>
      <c r="C46" s="65">
        <v>630480</v>
      </c>
      <c r="D46" s="71"/>
      <c r="E46" s="71">
        <v>2016</v>
      </c>
      <c r="F46" s="71">
        <f t="shared" si="0"/>
        <v>8</v>
      </c>
      <c r="G46" s="71"/>
      <c r="H46" s="74"/>
      <c r="I46" s="74"/>
    </row>
    <row r="47" spans="2:9" x14ac:dyDescent="0.25">
      <c r="B47" s="74" t="s">
        <v>129</v>
      </c>
      <c r="C47" s="65">
        <v>66963240</v>
      </c>
      <c r="D47" s="71" t="s">
        <v>130</v>
      </c>
      <c r="E47" s="71">
        <v>2017</v>
      </c>
      <c r="F47" s="71">
        <f t="shared" si="0"/>
        <v>7</v>
      </c>
      <c r="G47" s="71">
        <v>23</v>
      </c>
      <c r="H47" s="74"/>
      <c r="I47" s="74"/>
    </row>
    <row r="48" spans="2:9" x14ac:dyDescent="0.25">
      <c r="B48" s="74" t="s">
        <v>131</v>
      </c>
      <c r="C48" s="65">
        <v>705200</v>
      </c>
      <c r="D48" s="71"/>
      <c r="E48" s="71">
        <v>2017</v>
      </c>
      <c r="F48" s="71">
        <f t="shared" si="0"/>
        <v>7</v>
      </c>
      <c r="G48" s="71">
        <v>23</v>
      </c>
      <c r="H48" s="74"/>
      <c r="I48" s="74"/>
    </row>
    <row r="49" spans="2:9" x14ac:dyDescent="0.25">
      <c r="B49" s="74" t="s">
        <v>132</v>
      </c>
      <c r="C49" s="65">
        <v>51000</v>
      </c>
      <c r="D49" s="71"/>
      <c r="E49" s="71">
        <v>2017</v>
      </c>
      <c r="F49" s="71">
        <f t="shared" si="0"/>
        <v>7</v>
      </c>
      <c r="G49" s="71">
        <v>23</v>
      </c>
      <c r="H49" s="74"/>
      <c r="I49" s="74"/>
    </row>
    <row r="50" spans="2:9" x14ac:dyDescent="0.25">
      <c r="B50" s="74" t="s">
        <v>133</v>
      </c>
      <c r="C50" s="65">
        <v>125000</v>
      </c>
      <c r="D50" s="71"/>
      <c r="E50" s="71">
        <v>2017</v>
      </c>
      <c r="F50" s="71">
        <f t="shared" si="0"/>
        <v>7</v>
      </c>
      <c r="G50" s="71">
        <v>23</v>
      </c>
      <c r="H50" s="74"/>
      <c r="I50" s="74"/>
    </row>
    <row r="51" spans="2:9" x14ac:dyDescent="0.25">
      <c r="B51" s="74" t="s">
        <v>134</v>
      </c>
      <c r="C51" s="65">
        <v>47000</v>
      </c>
      <c r="D51" s="71"/>
      <c r="E51" s="71">
        <v>2017</v>
      </c>
      <c r="F51" s="71">
        <f t="shared" si="0"/>
        <v>7</v>
      </c>
      <c r="G51" s="71">
        <v>23</v>
      </c>
      <c r="H51" s="74"/>
      <c r="I51" s="74"/>
    </row>
    <row r="52" spans="2:9" x14ac:dyDescent="0.25">
      <c r="B52" s="74" t="s">
        <v>135</v>
      </c>
      <c r="C52" s="65">
        <v>222650</v>
      </c>
      <c r="D52" s="71"/>
      <c r="E52" s="71">
        <v>2018</v>
      </c>
      <c r="F52" s="71">
        <f t="shared" si="0"/>
        <v>6</v>
      </c>
      <c r="G52" s="71">
        <v>24</v>
      </c>
      <c r="H52" s="74"/>
      <c r="I52" s="74"/>
    </row>
    <row r="53" spans="2:9" x14ac:dyDescent="0.25">
      <c r="B53" s="74" t="s">
        <v>136</v>
      </c>
      <c r="C53" s="65">
        <v>520000</v>
      </c>
      <c r="D53" s="71"/>
      <c r="E53" s="71">
        <v>2018</v>
      </c>
      <c r="F53" s="71">
        <f t="shared" si="0"/>
        <v>6</v>
      </c>
      <c r="G53" s="71">
        <v>14</v>
      </c>
      <c r="H53" s="74"/>
      <c r="I53" s="74"/>
    </row>
    <row r="54" spans="2:9" x14ac:dyDescent="0.25">
      <c r="B54" s="74" t="s">
        <v>137</v>
      </c>
      <c r="C54" s="65">
        <v>111500</v>
      </c>
      <c r="D54" s="71"/>
      <c r="E54" s="71">
        <v>2018</v>
      </c>
      <c r="F54" s="71">
        <f t="shared" si="0"/>
        <v>6</v>
      </c>
      <c r="G54" s="71">
        <v>14</v>
      </c>
      <c r="H54" s="74"/>
      <c r="I54" s="74"/>
    </row>
    <row r="55" spans="2:9" x14ac:dyDescent="0.25">
      <c r="B55" s="74" t="s">
        <v>138</v>
      </c>
      <c r="C55" s="65">
        <v>117000</v>
      </c>
      <c r="D55" s="71"/>
      <c r="E55" s="71">
        <v>2018</v>
      </c>
      <c r="F55" s="71">
        <f t="shared" si="0"/>
        <v>6</v>
      </c>
      <c r="G55" s="71">
        <v>24</v>
      </c>
      <c r="H55" s="74"/>
      <c r="I55" s="74"/>
    </row>
    <row r="56" spans="2:9" x14ac:dyDescent="0.25">
      <c r="B56" s="74" t="s">
        <v>139</v>
      </c>
      <c r="C56" s="65">
        <v>604093</v>
      </c>
      <c r="D56" s="71"/>
      <c r="E56" s="71">
        <v>2018</v>
      </c>
      <c r="F56" s="71">
        <f t="shared" si="0"/>
        <v>6</v>
      </c>
      <c r="G56" s="71">
        <v>14</v>
      </c>
      <c r="H56" s="74"/>
      <c r="I56" s="74"/>
    </row>
    <row r="57" spans="2:9" x14ac:dyDescent="0.25">
      <c r="B57" s="74" t="s">
        <v>140</v>
      </c>
      <c r="C57" s="65">
        <v>495900</v>
      </c>
      <c r="D57" s="71"/>
      <c r="E57" s="71">
        <v>2019</v>
      </c>
      <c r="F57" s="71">
        <f t="shared" si="0"/>
        <v>5</v>
      </c>
      <c r="G57" s="71">
        <v>15</v>
      </c>
      <c r="H57" s="74"/>
      <c r="I57" s="74"/>
    </row>
    <row r="58" spans="2:9" x14ac:dyDescent="0.25">
      <c r="B58" s="74" t="s">
        <v>141</v>
      </c>
      <c r="C58" s="65">
        <v>358000</v>
      </c>
      <c r="D58" s="71"/>
      <c r="E58" s="71">
        <v>2019</v>
      </c>
      <c r="F58" s="71">
        <f t="shared" si="0"/>
        <v>5</v>
      </c>
      <c r="G58" s="71">
        <v>10</v>
      </c>
      <c r="H58" s="74"/>
      <c r="I58" s="74"/>
    </row>
    <row r="59" spans="2:9" x14ac:dyDescent="0.25">
      <c r="B59" s="74" t="s">
        <v>142</v>
      </c>
      <c r="C59" s="65">
        <v>40574331</v>
      </c>
      <c r="D59" s="71"/>
      <c r="E59" s="71">
        <v>2019</v>
      </c>
      <c r="F59" s="71">
        <f t="shared" si="0"/>
        <v>5</v>
      </c>
      <c r="G59" s="71">
        <v>25</v>
      </c>
      <c r="H59" s="74"/>
      <c r="I59" s="74"/>
    </row>
    <row r="60" spans="2:9" x14ac:dyDescent="0.25">
      <c r="B60" s="74" t="s">
        <v>143</v>
      </c>
      <c r="C60" s="65">
        <v>39600</v>
      </c>
      <c r="D60" s="71"/>
      <c r="E60" s="71">
        <v>2019</v>
      </c>
      <c r="F60" s="71">
        <f t="shared" si="0"/>
        <v>5</v>
      </c>
      <c r="G60" s="71">
        <v>5</v>
      </c>
      <c r="H60" s="74"/>
      <c r="I60" s="74"/>
    </row>
    <row r="61" spans="2:9" x14ac:dyDescent="0.25">
      <c r="B61" s="74" t="s">
        <v>144</v>
      </c>
      <c r="C61" s="65">
        <v>115740</v>
      </c>
      <c r="D61" s="71"/>
      <c r="E61" s="71">
        <v>2019</v>
      </c>
      <c r="F61" s="71">
        <f t="shared" si="0"/>
        <v>5</v>
      </c>
      <c r="G61" s="71">
        <v>25</v>
      </c>
      <c r="H61" s="74"/>
      <c r="I61" s="74"/>
    </row>
    <row r="62" spans="2:9" x14ac:dyDescent="0.25">
      <c r="B62" s="74" t="s">
        <v>145</v>
      </c>
      <c r="C62" s="65">
        <v>21840</v>
      </c>
      <c r="D62" s="71"/>
      <c r="E62" s="71">
        <v>2019</v>
      </c>
      <c r="F62" s="71">
        <f t="shared" si="0"/>
        <v>5</v>
      </c>
      <c r="G62" s="71">
        <v>25</v>
      </c>
      <c r="H62" s="74"/>
      <c r="I62" s="74"/>
    </row>
    <row r="63" spans="2:9" x14ac:dyDescent="0.25">
      <c r="B63" s="74" t="s">
        <v>146</v>
      </c>
      <c r="C63" s="65">
        <v>389000</v>
      </c>
      <c r="D63" s="71"/>
      <c r="E63" s="71">
        <v>2019</v>
      </c>
      <c r="F63" s="71">
        <f t="shared" si="0"/>
        <v>5</v>
      </c>
      <c r="G63" s="71">
        <v>5</v>
      </c>
      <c r="H63" s="74"/>
      <c r="I63" s="74"/>
    </row>
    <row r="64" spans="2:9" x14ac:dyDescent="0.25">
      <c r="B64" s="74" t="s">
        <v>147</v>
      </c>
      <c r="C64" s="65">
        <v>752450</v>
      </c>
      <c r="D64" s="71"/>
      <c r="E64" s="71">
        <v>2020</v>
      </c>
      <c r="F64" s="71">
        <f t="shared" si="0"/>
        <v>4</v>
      </c>
      <c r="G64" s="71">
        <v>26</v>
      </c>
      <c r="H64" s="74"/>
      <c r="I64" s="74"/>
    </row>
    <row r="65" spans="2:9" x14ac:dyDescent="0.25">
      <c r="B65" s="74" t="s">
        <v>148</v>
      </c>
      <c r="C65" s="65">
        <v>23400</v>
      </c>
      <c r="D65" s="71"/>
      <c r="E65" s="71">
        <v>2020</v>
      </c>
      <c r="F65" s="71">
        <f t="shared" si="0"/>
        <v>4</v>
      </c>
      <c r="G65" s="71">
        <v>6</v>
      </c>
      <c r="H65" s="74"/>
      <c r="I65" s="74"/>
    </row>
    <row r="66" spans="2:9" x14ac:dyDescent="0.25">
      <c r="B66" s="74" t="s">
        <v>149</v>
      </c>
      <c r="C66" s="65">
        <v>850000</v>
      </c>
      <c r="D66" s="71"/>
      <c r="E66" s="71">
        <v>2020</v>
      </c>
      <c r="F66" s="71">
        <f t="shared" si="0"/>
        <v>4</v>
      </c>
      <c r="G66" s="71">
        <v>26</v>
      </c>
      <c r="H66" s="74"/>
      <c r="I66" s="74"/>
    </row>
    <row r="67" spans="2:9" x14ac:dyDescent="0.25">
      <c r="B67" s="74" t="s">
        <v>150</v>
      </c>
      <c r="C67" s="65">
        <v>220000</v>
      </c>
      <c r="D67" s="71"/>
      <c r="E67" s="71">
        <v>2020</v>
      </c>
      <c r="F67" s="71">
        <f t="shared" si="0"/>
        <v>4</v>
      </c>
      <c r="G67" s="71">
        <v>26</v>
      </c>
      <c r="H67" s="74"/>
      <c r="I67" s="74"/>
    </row>
    <row r="68" spans="2:9" x14ac:dyDescent="0.25">
      <c r="B68" s="75" t="s">
        <v>151</v>
      </c>
      <c r="C68" s="64">
        <f>SUM(C3:C67)</f>
        <v>397006214</v>
      </c>
      <c r="D68" s="71"/>
      <c r="E68" s="71"/>
      <c r="F68" s="74"/>
      <c r="G68" s="71"/>
      <c r="H68" s="74"/>
      <c r="I68" s="74"/>
    </row>
  </sheetData>
  <mergeCells count="29">
    <mergeCell ref="C3:C15"/>
    <mergeCell ref="C25:C26"/>
    <mergeCell ref="C27:C28"/>
    <mergeCell ref="C29:C31"/>
    <mergeCell ref="D32:D33"/>
    <mergeCell ref="C32:C33"/>
    <mergeCell ref="C35:C40"/>
    <mergeCell ref="E35:E40"/>
    <mergeCell ref="D35:D40"/>
    <mergeCell ref="C16:C22"/>
    <mergeCell ref="F35:F40"/>
    <mergeCell ref="F32:F33"/>
    <mergeCell ref="E16:E22"/>
    <mergeCell ref="F16:F22"/>
    <mergeCell ref="E3:E15"/>
    <mergeCell ref="F3:F15"/>
    <mergeCell ref="E32:E33"/>
    <mergeCell ref="H35:H40"/>
    <mergeCell ref="I35:I40"/>
    <mergeCell ref="G3:G15"/>
    <mergeCell ref="G16:G22"/>
    <mergeCell ref="G35:G40"/>
    <mergeCell ref="H3:H15"/>
    <mergeCell ref="I3:I15"/>
    <mergeCell ref="H16:H22"/>
    <mergeCell ref="I16:I22"/>
    <mergeCell ref="G32:G33"/>
    <mergeCell ref="H32:H33"/>
    <mergeCell ref="I32:I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P17:Q17"/>
  <sheetViews>
    <sheetView workbookViewId="0">
      <selection activeCell="A3" sqref="A3"/>
    </sheetView>
  </sheetViews>
  <sheetFormatPr defaultRowHeight="15" x14ac:dyDescent="0.25"/>
  <sheetData>
    <row r="17" spans="16:17" x14ac:dyDescent="0.25">
      <c r="P17" s="53"/>
      <c r="Q17" t="s">
        <v>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1BCC-DA78-4A99-978D-B77EAF6F13CC}">
  <dimension ref="O18:P18"/>
  <sheetViews>
    <sheetView workbookViewId="0">
      <selection activeCell="O18" sqref="O18"/>
    </sheetView>
  </sheetViews>
  <sheetFormatPr defaultRowHeight="15" x14ac:dyDescent="0.25"/>
  <sheetData>
    <row r="18" spans="15:16" x14ac:dyDescent="0.25">
      <c r="O18" s="53"/>
      <c r="P18" s="53" t="s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B537-7B0E-452C-8761-5EDEF345321A}">
  <dimension ref="B2:P15"/>
  <sheetViews>
    <sheetView workbookViewId="0">
      <selection activeCell="D5" sqref="D5"/>
    </sheetView>
  </sheetViews>
  <sheetFormatPr defaultRowHeight="15" x14ac:dyDescent="0.25"/>
  <sheetData>
    <row r="2" spans="2:16" x14ac:dyDescent="0.25">
      <c r="B2">
        <v>29.5</v>
      </c>
      <c r="C2">
        <v>112</v>
      </c>
      <c r="D2">
        <v>112</v>
      </c>
      <c r="E2">
        <v>231.00700000000001</v>
      </c>
      <c r="F2">
        <v>49.55</v>
      </c>
      <c r="G2">
        <f>E2*F2</f>
        <v>11446.396849999999</v>
      </c>
    </row>
    <row r="3" spans="2:16" x14ac:dyDescent="0.25">
      <c r="B3">
        <v>126.01</v>
      </c>
      <c r="C3">
        <v>18.7</v>
      </c>
      <c r="D3">
        <v>18.7</v>
      </c>
    </row>
    <row r="4" spans="2:16" x14ac:dyDescent="0.25">
      <c r="B4">
        <f>B2*B3</f>
        <v>3717.2950000000001</v>
      </c>
      <c r="C4">
        <f>C2*C3</f>
        <v>2094.4</v>
      </c>
      <c r="D4">
        <v>1560</v>
      </c>
    </row>
    <row r="15" spans="2:16" x14ac:dyDescent="0.25">
      <c r="O15" s="53">
        <f>15000000/557</f>
        <v>26929.982046678637</v>
      </c>
      <c r="P15" s="5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L&amp;B Valuation </vt:lpstr>
      <vt:lpstr>Jantri Rate</vt:lpstr>
      <vt:lpstr>P&amp;M Valuation</vt:lpstr>
      <vt:lpstr>Sheet4</vt:lpstr>
      <vt:lpstr>Sheet5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dcterms:created xsi:type="dcterms:W3CDTF">2014-10-16T12:20:47Z</dcterms:created>
  <dcterms:modified xsi:type="dcterms:W3CDTF">2024-12-21T06:08:35Z</dcterms:modified>
</cp:coreProperties>
</file>