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Making Cases\Nanded\SBI - SME Nanded Branch\Venkateshwaro Dal Industries - Khanapur\"/>
    </mc:Choice>
  </mc:AlternateContent>
  <xr:revisionPtr revIDLastSave="0" documentId="13_ncr:1_{49531443-6FD4-4408-A415-7C07AD5D621F}" xr6:coauthVersionLast="45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BI - Previous Valuation" sheetId="2" r:id="rId1"/>
    <sheet name="SBI - Current Valuation" sheetId="5" r:id="rId2"/>
    <sheet name="Sheet1" sheetId="3" r:id="rId3"/>
    <sheet name="Sheet2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2" i="2" l="1"/>
  <c r="C32" i="2"/>
  <c r="C23" i="5" l="1"/>
  <c r="C14" i="5"/>
  <c r="H39" i="3" l="1"/>
  <c r="G39" i="3"/>
  <c r="N20" i="2" l="1"/>
  <c r="P20" i="2" s="1"/>
  <c r="C4" i="5"/>
  <c r="C23" i="2" l="1"/>
  <c r="C14" i="2"/>
  <c r="C30" i="5"/>
  <c r="C19" i="5"/>
  <c r="C29" i="5" s="1"/>
  <c r="O13" i="5"/>
  <c r="H13" i="5"/>
  <c r="J13" i="5" s="1"/>
  <c r="K13" i="5" s="1"/>
  <c r="L13" i="5" s="1"/>
  <c r="N13" i="5" s="1"/>
  <c r="O12" i="5"/>
  <c r="H12" i="5"/>
  <c r="J12" i="5" s="1"/>
  <c r="K12" i="5" s="1"/>
  <c r="L12" i="5" s="1"/>
  <c r="N12" i="5" s="1"/>
  <c r="M12" i="5" s="1"/>
  <c r="O11" i="5"/>
  <c r="H11" i="5"/>
  <c r="J11" i="5" s="1"/>
  <c r="K11" i="5" s="1"/>
  <c r="L11" i="5" s="1"/>
  <c r="N11" i="5" s="1"/>
  <c r="M11" i="5" s="1"/>
  <c r="O10" i="5"/>
  <c r="H10" i="5"/>
  <c r="J10" i="5" s="1"/>
  <c r="K10" i="5" s="1"/>
  <c r="L10" i="5" s="1"/>
  <c r="N10" i="5" s="1"/>
  <c r="M10" i="5" s="1"/>
  <c r="O9" i="5"/>
  <c r="H9" i="5"/>
  <c r="J9" i="5" s="1"/>
  <c r="K9" i="5" s="1"/>
  <c r="L9" i="5" s="1"/>
  <c r="N9" i="5" s="1"/>
  <c r="M9" i="5" s="1"/>
  <c r="O8" i="5"/>
  <c r="H8" i="5"/>
  <c r="J8" i="5" s="1"/>
  <c r="K8" i="5" s="1"/>
  <c r="L8" i="5" s="1"/>
  <c r="N8" i="5" s="1"/>
  <c r="I3" i="5"/>
  <c r="F2" i="5"/>
  <c r="C27" i="5"/>
  <c r="M13" i="5" l="1"/>
  <c r="N14" i="5"/>
  <c r="O14" i="5"/>
  <c r="I8" i="5"/>
  <c r="I9" i="5"/>
  <c r="I10" i="5"/>
  <c r="I11" i="5"/>
  <c r="I12" i="5"/>
  <c r="I13" i="5"/>
  <c r="M8" i="5"/>
  <c r="J2" i="5"/>
  <c r="L2" i="5" s="1"/>
  <c r="F2" i="2"/>
  <c r="I3" i="2"/>
  <c r="O8" i="2"/>
  <c r="H8" i="2"/>
  <c r="J8" i="2" s="1"/>
  <c r="K8" i="2" s="1"/>
  <c r="L8" i="2" s="1"/>
  <c r="N8" i="2" s="1"/>
  <c r="O11" i="2"/>
  <c r="H11" i="2"/>
  <c r="J11" i="2" s="1"/>
  <c r="K11" i="2" s="1"/>
  <c r="L11" i="2" s="1"/>
  <c r="N11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M14" i="5" l="1"/>
  <c r="L3" i="5"/>
  <c r="L4" i="5" s="1"/>
  <c r="C28" i="5"/>
  <c r="I9" i="2"/>
  <c r="M8" i="2"/>
  <c r="I10" i="2"/>
  <c r="I11" i="2"/>
  <c r="I8" i="2"/>
  <c r="M9" i="2"/>
  <c r="M10" i="2"/>
  <c r="M11" i="2"/>
  <c r="C34" i="5" l="1"/>
  <c r="C31" i="5"/>
  <c r="C24" i="2"/>
  <c r="C30" i="2" s="1"/>
  <c r="C19" i="2"/>
  <c r="C29" i="2" s="1"/>
  <c r="O13" i="2"/>
  <c r="H13" i="2"/>
  <c r="I13" i="2" s="1"/>
  <c r="O12" i="2"/>
  <c r="H12" i="2"/>
  <c r="C4" i="2"/>
  <c r="C27" i="2" s="1"/>
  <c r="J2" i="2"/>
  <c r="L2" i="2" s="1"/>
  <c r="P2" i="5" l="1"/>
  <c r="R2" i="5" s="1"/>
  <c r="C33" i="5"/>
  <c r="C32" i="5"/>
  <c r="P4" i="5"/>
  <c r="R4" i="5" s="1"/>
  <c r="P3" i="5"/>
  <c r="R3" i="5" s="1"/>
  <c r="J13" i="2"/>
  <c r="K13" i="2" s="1"/>
  <c r="L13" i="2" s="1"/>
  <c r="N13" i="2" s="1"/>
  <c r="M13" i="2" s="1"/>
  <c r="J12" i="2"/>
  <c r="K12" i="2" s="1"/>
  <c r="L12" i="2" s="1"/>
  <c r="N12" i="2" s="1"/>
  <c r="I12" i="2"/>
  <c r="O14" i="2"/>
  <c r="N14" i="2" l="1"/>
  <c r="C28" i="2" s="1"/>
  <c r="C34" i="2" s="1"/>
  <c r="M12" i="2"/>
  <c r="M14" i="2" s="1"/>
  <c r="L3" i="2" l="1"/>
  <c r="L4" i="2" s="1"/>
  <c r="C31" i="2"/>
  <c r="C33" i="2" s="1"/>
  <c r="P2" i="2" l="1"/>
  <c r="R2" i="2" s="1"/>
  <c r="P3" i="2"/>
  <c r="P4" i="2"/>
  <c r="R4" i="2" s="1"/>
  <c r="R3" i="2" l="1"/>
</calcChain>
</file>

<file path=xl/sharedStrings.xml><?xml version="1.0" encoding="utf-8"?>
<sst xmlns="http://schemas.openxmlformats.org/spreadsheetml/2006/main" count="138" uniqueCount="50">
  <si>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</si>
  <si>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</si>
  <si>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</si>
  <si>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</si>
  <si>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</si>
  <si>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</si>
  <si>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</si>
  <si>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</si>
  <si>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</si>
  <si>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</si>
  <si>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</si>
  <si>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</si>
  <si>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</si>
  <si>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</si>
  <si>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</si>
  <si>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</si>
  <si>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</si>
  <si>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</si>
  <si>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</si>
  <si>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</si>
  <si>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Government value</t>
  </si>
  <si>
    <t>Depreciation</t>
  </si>
  <si>
    <t>Particulars</t>
  </si>
  <si>
    <t>Balance Life of Structures in Years</t>
  </si>
  <si>
    <t xml:space="preserve">Built Up Area </t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</si>
  <si>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</si>
  <si>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</si>
  <si>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</si>
  <si>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</si>
  <si>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</si>
  <si>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</si>
  <si>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</si>
  <si>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</si>
  <si>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Estimated Replacement Cost</t>
  </si>
  <si>
    <t xml:space="preserve">Depreciated Replacement Cost </t>
  </si>
  <si>
    <t xml:space="preserve">Depreciated Replacement Value </t>
  </si>
  <si>
    <t>Replacement Value</t>
  </si>
  <si>
    <r>
      <t>Insurable value (Depreciated Replacement Value (</t>
    </r>
    <r>
      <rPr>
        <b/>
        <sz val="11"/>
        <color theme="1"/>
        <rFont val="Rupee Foradian"/>
        <family val="2"/>
      </rPr>
      <t xml:space="preserve">` </t>
    </r>
    <r>
      <rPr>
        <b/>
        <sz val="11"/>
        <color theme="1"/>
        <rFont val="Arial Narrow"/>
        <family val="2"/>
      </rPr>
      <t>3,34,62,049.00) - Subsoil Structure Cost (15%)</t>
    </r>
  </si>
  <si>
    <t>Age Of Build</t>
  </si>
  <si>
    <t>(Years)</t>
  </si>
  <si>
    <r>
      <t>(</t>
    </r>
    <r>
      <rPr>
        <b/>
        <sz val="10.5"/>
        <rFont val="Rupee Foradian"/>
        <family val="2"/>
      </rPr>
      <t>`</t>
    </r>
    <r>
      <rPr>
        <b/>
        <sz val="10.5"/>
        <rFont val="Calibri"/>
        <family val="2"/>
      </rPr>
      <t>)</t>
    </r>
  </si>
  <si>
    <r>
      <t>(</t>
    </r>
    <r>
      <rPr>
        <b/>
        <sz val="10.5"/>
        <color rgb="FFFF0000"/>
        <rFont val="Rupee Foradian"/>
        <family val="2"/>
      </rPr>
      <t>`</t>
    </r>
    <r>
      <rPr>
        <b/>
        <sz val="10.5"/>
        <color rgb="FFFF0000"/>
        <rFont val="Calibri"/>
        <family val="2"/>
      </rPr>
      <t>)</t>
    </r>
  </si>
  <si>
    <t>Fair Market Value</t>
  </si>
  <si>
    <t>Machinery Shed</t>
  </si>
  <si>
    <t>Factory Godown</t>
  </si>
  <si>
    <t>Varandah</t>
  </si>
  <si>
    <t>office</t>
  </si>
  <si>
    <t>Watchmen Cabin</t>
  </si>
  <si>
    <t>Elevated Tank</t>
  </si>
  <si>
    <t>(Sq. M.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</si>
</sst>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Rupee Foradian"/>
      <family val="2"/>
    </font>
    <font>
      <b/>
      <sz val="10.5"/>
      <color theme="1"/>
      <name val="Arial Narrow"/>
      <family val="2"/>
    </font>
    <font>
      <b/>
      <sz val="10.5"/>
      <color rgb="FFFF0000"/>
      <name val="Arial Narrow"/>
      <family val="2"/>
    </font>
    <font>
      <b/>
      <sz val="10.5"/>
      <name val="Arial Narrow"/>
      <family val="2"/>
    </font>
    <font>
      <b/>
      <sz val="10.5"/>
      <color rgb="FFFF0000"/>
      <name val="Calibri"/>
      <family val="2"/>
    </font>
    <font>
      <b/>
      <sz val="10.5"/>
      <name val="Calibri"/>
      <family val="2"/>
    </font>
    <font>
      <b/>
      <sz val="10.5"/>
      <name val="Rupee Foradian"/>
      <family val="2"/>
    </font>
    <font>
      <b/>
      <sz val="10.5"/>
      <color rgb="FFFF0000"/>
      <name val="Rupee Foradian"/>
      <family val="2"/>
    </font>
    <font>
      <sz val="10.5"/>
      <color theme="1"/>
      <name val="Arial Narrow"/>
      <family val="2"/>
    </font>
    <font>
      <sz val="10.5"/>
      <color rgb="FF000000"/>
      <name val="Arial Narrow"/>
      <family val="2"/>
    </font>
    <font>
      <sz val="10.5"/>
      <name val="Arial Narrow"/>
      <family val="2"/>
    </font>
    <font>
      <sz val="10.5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7" fillId="0" borderId="0" xfId="0" applyNumberFormat="1" applyFont="1"/>
    <xf numFmtId="0" fontId="7" fillId="0" borderId="0" xfId="0" applyFont="1"/>
    <xf numFmtId="0" fontId="6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3" fillId="0" borderId="0" xfId="0" applyFont="1" applyAlignment="1">
      <alignment horizontal="center"/>
    </xf>
    <xf numFmtId="4" fontId="3" fillId="0" borderId="2" xfId="0" applyNumberFormat="1" applyFont="1" applyBorder="1" applyAlignment="1">
      <alignment vertical="top"/>
    </xf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3" fontId="6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3" fillId="0" borderId="1" xfId="0" applyNumberFormat="1" applyFont="1" applyBorder="1"/>
    <xf numFmtId="3" fontId="6" fillId="0" borderId="1" xfId="0" applyNumberFormat="1" applyFont="1" applyBorder="1"/>
    <xf numFmtId="0" fontId="5" fillId="0" borderId="0" xfId="0" applyFont="1"/>
    <xf numFmtId="3" fontId="5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3" fillId="0" borderId="0" xfId="0" applyNumberFormat="1" applyFont="1" applyAlignment="1">
      <alignment vertical="top"/>
    </xf>
    <xf numFmtId="3" fontId="7" fillId="0" borderId="0" xfId="0" applyNumberFormat="1" applyFont="1" applyAlignment="1">
      <alignment vertical="top"/>
    </xf>
    <xf numFmtId="164" fontId="3" fillId="0" borderId="0" xfId="1" applyNumberFormat="1" applyFont="1" applyAlignment="1">
      <alignment vertical="top"/>
    </xf>
    <xf numFmtId="3" fontId="7" fillId="0" borderId="0" xfId="0" applyNumberFormat="1" applyFont="1"/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top" wrapText="1" shrinkToFit="1"/>
    </xf>
    <xf numFmtId="0" fontId="12" fillId="0" borderId="1" xfId="0" applyFont="1" applyBorder="1" applyAlignment="1">
      <alignment horizontal="center" vertical="top" wrapText="1" shrinkToFit="1"/>
    </xf>
    <xf numFmtId="0" fontId="14" fillId="0" borderId="1" xfId="0" applyFont="1" applyBorder="1" applyAlignment="1">
      <alignment horizontal="center" vertical="top" wrapText="1" shrinkToFit="1"/>
    </xf>
    <xf numFmtId="0" fontId="12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 shrinkToFit="1"/>
    </xf>
    <xf numFmtId="0" fontId="18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vertical="top" wrapText="1"/>
    </xf>
    <xf numFmtId="4" fontId="18" fillId="0" borderId="1" xfId="0" applyNumberFormat="1" applyFont="1" applyBorder="1" applyAlignment="1">
      <alignment horizontal="right" vertical="top" wrapText="1"/>
    </xf>
    <xf numFmtId="0" fontId="20" fillId="0" borderId="1" xfId="0" applyFont="1" applyBorder="1" applyAlignment="1">
      <alignment horizontal="right" vertical="top" wrapText="1"/>
    </xf>
    <xf numFmtId="3" fontId="19" fillId="0" borderId="1" xfId="0" applyNumberFormat="1" applyFont="1" applyBorder="1" applyAlignment="1">
      <alignment horizontal="right" vertical="top" wrapText="1"/>
    </xf>
    <xf numFmtId="3" fontId="21" fillId="0" borderId="1" xfId="0" applyNumberFormat="1" applyFont="1" applyBorder="1" applyAlignment="1">
      <alignment vertical="top"/>
    </xf>
    <xf numFmtId="0" fontId="18" fillId="0" borderId="1" xfId="0" applyFont="1" applyBorder="1" applyAlignment="1">
      <alignment horizontal="center"/>
    </xf>
    <xf numFmtId="3" fontId="21" fillId="0" borderId="1" xfId="0" applyNumberFormat="1" applyFont="1" applyBorder="1"/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/>
    </xf>
    <xf numFmtId="0" fontId="21" fillId="0" borderId="1" xfId="0" applyFont="1" applyBorder="1" applyAlignment="1">
      <alignment vertical="top"/>
    </xf>
    <xf numFmtId="3" fontId="18" fillId="0" borderId="1" xfId="0" applyNumberFormat="1" applyFont="1" applyBorder="1" applyAlignment="1">
      <alignment vertical="top"/>
    </xf>
    <xf numFmtId="4" fontId="18" fillId="0" borderId="1" xfId="0" applyNumberFormat="1" applyFont="1" applyBorder="1" applyAlignment="1">
      <alignment vertical="top"/>
    </xf>
    <xf numFmtId="164" fontId="1" fillId="0" borderId="0" xfId="1" applyNumberFormat="1" applyFont="1" applyAlignment="1">
      <alignment vertical="top"/>
    </xf>
    <xf numFmtId="3" fontId="6" fillId="0" borderId="0" xfId="0" applyNumberFormat="1" applyFont="1" applyAlignment="1">
      <alignment vertical="top"/>
    </xf>
    <xf numFmtId="4" fontId="11" fillId="0" borderId="1" xfId="0" applyNumberFormat="1" applyFont="1" applyBorder="1" applyAlignment="1">
      <alignment vertical="top"/>
    </xf>
    <xf numFmtId="4" fontId="21" fillId="0" borderId="1" xfId="0" applyNumberFormat="1" applyFont="1" applyBorder="1" applyAlignment="1">
      <alignment vertical="top"/>
    </xf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3" fontId="3" fillId="0" borderId="0" xfId="1" applyNumberFormat="1" applyFont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9"/>
  <sheetViews>
    <sheetView workbookViewId="0">
      <pane xSplit="2" ySplit="6" topLeftCell="C10" activePane="bottomRight" state="frozen"/>
      <selection pane="topRight" activeCell="C1" sqref="C1"/>
      <selection pane="bottomLeft" activeCell="A7" sqref="A7"/>
      <selection pane="bottomRight" activeCell="P22" sqref="P22"/>
    </sheetView>
  </sheetViews>
  <sheetFormatPr defaultRowHeight="16.5" x14ac:dyDescent="0.3"/>
  <cols>
    <col min="1" max="1" width="9.140625" style="36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5" bestFit="1" customWidth="1"/>
    <col min="8" max="8" width="15.28515625" style="5" bestFit="1" customWidth="1"/>
    <col min="9" max="9" width="15.28515625" style="5" customWidth="1"/>
    <col min="10" max="10" width="13.85546875" style="1" bestFit="1" customWidth="1"/>
    <col min="11" max="11" width="15.42578125" style="5" bestFit="1" customWidth="1"/>
    <col min="12" max="12" width="14.140625" style="1" customWidth="1"/>
    <col min="13" max="13" width="13.28515625" style="5" bestFit="1" customWidth="1"/>
    <col min="14" max="14" width="14.85546875" style="5" customWidth="1"/>
    <col min="15" max="15" width="14.85546875" style="5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0" t="s">
        <v>11</v>
      </c>
      <c r="E1" s="1" t="s">
        <v>31</v>
      </c>
      <c r="F1" s="5" t="s">
        <v>32</v>
      </c>
      <c r="H1" s="5" t="s">
        <v>30</v>
      </c>
      <c r="K1" s="5" t="s">
        <v>20</v>
      </c>
      <c r="O1" s="5" t="s">
        <v>25</v>
      </c>
      <c r="R1" s="5" t="s">
        <v>25</v>
      </c>
    </row>
    <row r="2" spans="1:19" x14ac:dyDescent="0.3">
      <c r="B2" s="20" t="s">
        <v>9</v>
      </c>
      <c r="C2" s="44">
        <v>5030</v>
      </c>
      <c r="D2" s="5" t="s">
        <v>31</v>
      </c>
      <c r="E2" s="4">
        <v>0</v>
      </c>
      <c r="F2" s="4">
        <f>MROUND(E2*10.764,1)</f>
        <v>0</v>
      </c>
      <c r="G2" s="22"/>
      <c r="H2" s="1" t="s">
        <v>31</v>
      </c>
      <c r="I2" s="44">
        <v>0</v>
      </c>
      <c r="J2" s="44">
        <f>C2</f>
        <v>5030</v>
      </c>
      <c r="K2" s="44">
        <v>1151</v>
      </c>
      <c r="L2" s="38">
        <f>J2*K2</f>
        <v>5789530</v>
      </c>
      <c r="O2" s="41" t="s">
        <v>27</v>
      </c>
      <c r="P2" s="42">
        <f>C31</f>
        <v>28509248</v>
      </c>
      <c r="R2" s="17">
        <f>P2*0.025/12</f>
        <v>59394.26666666667</v>
      </c>
      <c r="S2" s="15" t="s">
        <v>26</v>
      </c>
    </row>
    <row r="3" spans="1:19" x14ac:dyDescent="0.3">
      <c r="B3" s="21" t="s">
        <v>5</v>
      </c>
      <c r="C3" s="15">
        <v>1151</v>
      </c>
      <c r="D3" s="12"/>
      <c r="E3" s="23"/>
      <c r="F3" s="23"/>
      <c r="G3" s="12"/>
      <c r="H3" s="1" t="s">
        <v>32</v>
      </c>
      <c r="I3" s="44">
        <f>MROUND(I2/10.764,1)</f>
        <v>0</v>
      </c>
      <c r="J3" s="44"/>
      <c r="K3" s="38"/>
      <c r="L3" s="38">
        <f>N14</f>
        <v>17018793</v>
      </c>
      <c r="O3" s="41" t="s">
        <v>27</v>
      </c>
      <c r="P3" s="42">
        <f>C31</f>
        <v>28509248</v>
      </c>
      <c r="Q3" s="5"/>
      <c r="R3" s="17">
        <f>P3*0.04/12</f>
        <v>95030.82666666666</v>
      </c>
      <c r="S3" s="43" t="s">
        <v>28</v>
      </c>
    </row>
    <row r="4" spans="1:19" x14ac:dyDescent="0.3">
      <c r="B4" s="28" t="s">
        <v>14</v>
      </c>
      <c r="C4" s="38">
        <f>ROUND((C2*C3),0)</f>
        <v>5789530</v>
      </c>
      <c r="F4" s="19"/>
      <c r="G4" s="19"/>
      <c r="I4" s="38"/>
      <c r="J4" s="44"/>
      <c r="K4" s="38"/>
      <c r="L4" s="38">
        <f>SUM(L2:L3)</f>
        <v>22808323</v>
      </c>
      <c r="O4" s="41" t="s">
        <v>27</v>
      </c>
      <c r="P4" s="42">
        <f>C31</f>
        <v>28509248</v>
      </c>
      <c r="Q4" s="5"/>
      <c r="R4" s="17">
        <f>P4*0.033/12</f>
        <v>78400.432000000001</v>
      </c>
      <c r="S4" s="15" t="s">
        <v>29</v>
      </c>
    </row>
    <row r="5" spans="1:19" x14ac:dyDescent="0.3">
      <c r="B5" s="10" t="s">
        <v>12</v>
      </c>
    </row>
    <row r="6" spans="1:19" s="3" customFormat="1" ht="57" x14ac:dyDescent="0.2">
      <c r="A6" s="50" t="s">
        <v>19</v>
      </c>
      <c r="B6" s="51" t="s">
        <v>22</v>
      </c>
      <c r="C6" s="51" t="s">
        <v>24</v>
      </c>
      <c r="D6" s="51" t="s">
        <v>0</v>
      </c>
      <c r="E6" s="51" t="s">
        <v>1</v>
      </c>
      <c r="F6" s="51" t="s">
        <v>2</v>
      </c>
      <c r="G6" s="51" t="s">
        <v>33</v>
      </c>
      <c r="H6" s="52" t="s">
        <v>38</v>
      </c>
      <c r="I6" s="52" t="s">
        <v>23</v>
      </c>
      <c r="J6" s="53" t="s">
        <v>3</v>
      </c>
      <c r="K6" s="53" t="s">
        <v>4</v>
      </c>
      <c r="L6" s="52" t="s">
        <v>34</v>
      </c>
      <c r="M6" s="54" t="s">
        <v>21</v>
      </c>
      <c r="N6" s="54" t="s">
        <v>35</v>
      </c>
      <c r="O6" s="54" t="s">
        <v>36</v>
      </c>
    </row>
    <row r="7" spans="1:19" s="3" customFormat="1" ht="14.25" x14ac:dyDescent="0.2">
      <c r="A7" s="50"/>
      <c r="B7" s="51"/>
      <c r="C7" s="52" t="s">
        <v>49</v>
      </c>
      <c r="D7" s="51"/>
      <c r="E7" s="51"/>
      <c r="F7" s="51"/>
      <c r="G7" s="55" t="s">
        <v>40</v>
      </c>
      <c r="H7" s="49" t="s">
        <v>39</v>
      </c>
      <c r="I7" s="49" t="s">
        <v>39</v>
      </c>
      <c r="J7" s="53"/>
      <c r="K7" s="53"/>
      <c r="L7" s="53" t="s">
        <v>41</v>
      </c>
      <c r="M7" s="53" t="s">
        <v>41</v>
      </c>
      <c r="N7" s="53" t="s">
        <v>41</v>
      </c>
      <c r="O7" s="53" t="s">
        <v>41</v>
      </c>
    </row>
    <row r="8" spans="1:19" s="8" customFormat="1" x14ac:dyDescent="0.25">
      <c r="A8" s="56">
        <v>1</v>
      </c>
      <c r="B8" s="57" t="s">
        <v>43</v>
      </c>
      <c r="C8" s="58">
        <v>687.01</v>
      </c>
      <c r="D8" s="59">
        <v>2005</v>
      </c>
      <c r="E8" s="59">
        <v>2021</v>
      </c>
      <c r="F8" s="59">
        <v>50</v>
      </c>
      <c r="G8" s="60">
        <v>20000</v>
      </c>
      <c r="H8" s="61">
        <f t="shared" ref="H8" si="0">E8-D8</f>
        <v>16</v>
      </c>
      <c r="I8" s="61">
        <f t="shared" ref="I8" si="1">F8-H8</f>
        <v>34</v>
      </c>
      <c r="J8" s="61">
        <f t="shared" ref="J8" si="2">IF(H8&gt;=5,90*H8/F8,0)</f>
        <v>28.8</v>
      </c>
      <c r="K8" s="61">
        <f t="shared" ref="K8" si="3">G8/100*J8</f>
        <v>5760</v>
      </c>
      <c r="L8" s="61">
        <f t="shared" ref="L8" si="4">ROUND((G8-K8),0)</f>
        <v>14240</v>
      </c>
      <c r="M8" s="61">
        <f t="shared" ref="M8" si="5">O8-N8</f>
        <v>3957178</v>
      </c>
      <c r="N8" s="61">
        <f t="shared" ref="N8" si="6">ROUND((L8*C8),0)</f>
        <v>9783022</v>
      </c>
      <c r="O8" s="61">
        <f t="shared" ref="O8" si="7">ROUND((C8*G8),0)</f>
        <v>13740200</v>
      </c>
    </row>
    <row r="9" spans="1:19" s="8" customFormat="1" x14ac:dyDescent="0.25">
      <c r="A9" s="56">
        <v>2</v>
      </c>
      <c r="B9" s="57" t="s">
        <v>44</v>
      </c>
      <c r="C9" s="58">
        <v>347.44</v>
      </c>
      <c r="D9" s="59">
        <v>2005</v>
      </c>
      <c r="E9" s="59">
        <v>2021</v>
      </c>
      <c r="F9" s="59">
        <v>50</v>
      </c>
      <c r="G9" s="60">
        <v>20000</v>
      </c>
      <c r="H9" s="61">
        <f t="shared" ref="H9:H11" si="8">E9-D9</f>
        <v>16</v>
      </c>
      <c r="I9" s="61">
        <f t="shared" ref="I9:I13" si="9">F9-H9</f>
        <v>34</v>
      </c>
      <c r="J9" s="61">
        <f t="shared" ref="J9:J11" si="10">IF(H9&gt;=5,90*H9/F9,0)</f>
        <v>28.8</v>
      </c>
      <c r="K9" s="61">
        <f t="shared" ref="K9:K11" si="11">G9/100*J9</f>
        <v>5760</v>
      </c>
      <c r="L9" s="61">
        <f t="shared" ref="L9:L11" si="12">ROUND((G9-K9),0)</f>
        <v>14240</v>
      </c>
      <c r="M9" s="61">
        <f t="shared" ref="M9:M11" si="13">O9-N9</f>
        <v>2001254</v>
      </c>
      <c r="N9" s="61">
        <f t="shared" ref="N9:N11" si="14">ROUND((L9*C9),0)</f>
        <v>4947546</v>
      </c>
      <c r="O9" s="61">
        <f t="shared" ref="O9:O11" si="15">ROUND((C9*G9),0)</f>
        <v>6948800</v>
      </c>
    </row>
    <row r="10" spans="1:19" s="8" customFormat="1" ht="17.25" customHeight="1" x14ac:dyDescent="0.25">
      <c r="A10" s="56">
        <v>3</v>
      </c>
      <c r="B10" s="57" t="s">
        <v>45</v>
      </c>
      <c r="C10" s="58">
        <v>93.87</v>
      </c>
      <c r="D10" s="59">
        <v>2005</v>
      </c>
      <c r="E10" s="59">
        <v>2021</v>
      </c>
      <c r="F10" s="59">
        <v>50</v>
      </c>
      <c r="G10" s="60">
        <v>20000</v>
      </c>
      <c r="H10" s="61">
        <f t="shared" si="8"/>
        <v>16</v>
      </c>
      <c r="I10" s="61">
        <f t="shared" si="9"/>
        <v>34</v>
      </c>
      <c r="J10" s="61">
        <f t="shared" si="10"/>
        <v>28.8</v>
      </c>
      <c r="K10" s="61">
        <f t="shared" si="11"/>
        <v>5760</v>
      </c>
      <c r="L10" s="61">
        <f t="shared" si="12"/>
        <v>14240</v>
      </c>
      <c r="M10" s="61">
        <f t="shared" si="13"/>
        <v>540691</v>
      </c>
      <c r="N10" s="61">
        <f t="shared" si="14"/>
        <v>1336709</v>
      </c>
      <c r="O10" s="61">
        <f t="shared" si="15"/>
        <v>1877400</v>
      </c>
    </row>
    <row r="11" spans="1:19" s="8" customFormat="1" x14ac:dyDescent="0.25">
      <c r="A11" s="56">
        <v>4</v>
      </c>
      <c r="B11" s="57" t="s">
        <v>46</v>
      </c>
      <c r="C11" s="58">
        <v>43.81</v>
      </c>
      <c r="D11" s="59">
        <v>2005</v>
      </c>
      <c r="E11" s="59">
        <v>2021</v>
      </c>
      <c r="F11" s="59">
        <v>50</v>
      </c>
      <c r="G11" s="60">
        <v>20000</v>
      </c>
      <c r="H11" s="61">
        <f t="shared" si="8"/>
        <v>16</v>
      </c>
      <c r="I11" s="61">
        <f t="shared" si="9"/>
        <v>34</v>
      </c>
      <c r="J11" s="61">
        <f t="shared" si="10"/>
        <v>28.8</v>
      </c>
      <c r="K11" s="61">
        <f t="shared" si="11"/>
        <v>5760</v>
      </c>
      <c r="L11" s="61">
        <f t="shared" si="12"/>
        <v>14240</v>
      </c>
      <c r="M11" s="61">
        <f t="shared" si="13"/>
        <v>252346</v>
      </c>
      <c r="N11" s="61">
        <f t="shared" si="14"/>
        <v>623854</v>
      </c>
      <c r="O11" s="61">
        <f t="shared" si="15"/>
        <v>876200</v>
      </c>
    </row>
    <row r="12" spans="1:19" s="8" customFormat="1" x14ac:dyDescent="0.25">
      <c r="A12" s="56">
        <v>5</v>
      </c>
      <c r="B12" s="57" t="s">
        <v>47</v>
      </c>
      <c r="C12" s="58">
        <v>7.56</v>
      </c>
      <c r="D12" s="59">
        <v>2005</v>
      </c>
      <c r="E12" s="59">
        <v>2021</v>
      </c>
      <c r="F12" s="59">
        <v>50</v>
      </c>
      <c r="G12" s="60">
        <v>20000</v>
      </c>
      <c r="H12" s="61">
        <f t="shared" ref="H12:H13" si="16">E12-D12</f>
        <v>16</v>
      </c>
      <c r="I12" s="61">
        <f t="shared" si="9"/>
        <v>34</v>
      </c>
      <c r="J12" s="61">
        <f t="shared" ref="J12:J13" si="17">IF(H12&gt;=5,90*H12/F12,0)</f>
        <v>28.8</v>
      </c>
      <c r="K12" s="61">
        <f t="shared" ref="K12:K13" si="18">G12/100*J12</f>
        <v>5760</v>
      </c>
      <c r="L12" s="61">
        <f t="shared" ref="L12:L13" si="19">ROUND((G12-K12),0)</f>
        <v>14240</v>
      </c>
      <c r="M12" s="61">
        <f t="shared" ref="M12:M13" si="20">O12-N12</f>
        <v>43546</v>
      </c>
      <c r="N12" s="61">
        <f t="shared" ref="N12:N13" si="21">ROUND((L12*C12),0)</f>
        <v>107654</v>
      </c>
      <c r="O12" s="61">
        <f t="shared" ref="O12:O13" si="22">ROUND((C12*G12),0)</f>
        <v>151200</v>
      </c>
    </row>
    <row r="13" spans="1:19" x14ac:dyDescent="0.3">
      <c r="A13" s="62">
        <v>6</v>
      </c>
      <c r="B13" s="57" t="s">
        <v>48</v>
      </c>
      <c r="C13" s="58">
        <v>15.45</v>
      </c>
      <c r="D13" s="59">
        <v>2005</v>
      </c>
      <c r="E13" s="59">
        <v>2021</v>
      </c>
      <c r="F13" s="59">
        <v>50</v>
      </c>
      <c r="G13" s="60">
        <v>20000</v>
      </c>
      <c r="H13" s="61">
        <f t="shared" si="16"/>
        <v>16</v>
      </c>
      <c r="I13" s="61">
        <f t="shared" si="9"/>
        <v>34</v>
      </c>
      <c r="J13" s="61">
        <f t="shared" si="17"/>
        <v>28.8</v>
      </c>
      <c r="K13" s="61">
        <f t="shared" si="18"/>
        <v>5760</v>
      </c>
      <c r="L13" s="61">
        <f t="shared" si="19"/>
        <v>14240</v>
      </c>
      <c r="M13" s="63">
        <f t="shared" si="20"/>
        <v>88992</v>
      </c>
      <c r="N13" s="61">
        <f t="shared" si="21"/>
        <v>220008</v>
      </c>
      <c r="O13" s="61">
        <f t="shared" si="22"/>
        <v>309000</v>
      </c>
    </row>
    <row r="14" spans="1:19" x14ac:dyDescent="0.3">
      <c r="A14" s="62"/>
      <c r="B14" s="64"/>
      <c r="C14" s="68">
        <f>SUM(C8:C13)</f>
        <v>1195.1400000000001</v>
      </c>
      <c r="D14" s="65"/>
      <c r="E14" s="65"/>
      <c r="F14" s="66"/>
      <c r="G14" s="61"/>
      <c r="H14" s="61"/>
      <c r="I14" s="61"/>
      <c r="J14" s="67"/>
      <c r="K14" s="61"/>
      <c r="L14" s="67"/>
      <c r="M14" s="61">
        <f>SUM(M8:M13)</f>
        <v>6884007</v>
      </c>
      <c r="N14" s="61">
        <f>SUM(N8:N13)</f>
        <v>17018793</v>
      </c>
      <c r="O14" s="61">
        <f>SUM(O8:O13)</f>
        <v>23902800</v>
      </c>
    </row>
    <row r="15" spans="1:19" x14ac:dyDescent="0.3">
      <c r="B15" s="7"/>
      <c r="C15" s="8"/>
      <c r="D15" s="8"/>
      <c r="E15" s="8"/>
      <c r="F15" s="9"/>
      <c r="G15" s="9"/>
      <c r="H15" s="9"/>
      <c r="I15" s="9"/>
      <c r="J15" s="8"/>
      <c r="K15" s="13"/>
      <c r="L15" s="14"/>
      <c r="M15" s="9"/>
      <c r="N15" s="24"/>
      <c r="O15" s="24"/>
    </row>
    <row r="16" spans="1:19" x14ac:dyDescent="0.3">
      <c r="B16" s="73" t="s">
        <v>16</v>
      </c>
      <c r="C16" s="73"/>
      <c r="D16" s="8"/>
      <c r="E16" s="8"/>
      <c r="F16" s="9"/>
      <c r="G16" s="9"/>
      <c r="H16" s="9"/>
      <c r="I16" s="9"/>
      <c r="J16" s="8"/>
      <c r="K16" s="13"/>
      <c r="L16" s="14"/>
      <c r="M16" s="9"/>
      <c r="N16" s="24"/>
      <c r="O16" s="24"/>
    </row>
    <row r="17" spans="1:16" x14ac:dyDescent="0.3">
      <c r="B17" s="20" t="s">
        <v>15</v>
      </c>
      <c r="C17" s="40">
        <v>0</v>
      </c>
      <c r="D17" s="8"/>
      <c r="E17" s="8"/>
      <c r="F17" s="9"/>
      <c r="G17" s="9"/>
      <c r="H17" s="9"/>
      <c r="I17" s="9"/>
      <c r="J17" s="8"/>
      <c r="K17" s="13"/>
      <c r="L17" s="14"/>
      <c r="M17" s="9"/>
      <c r="N17" s="24"/>
      <c r="O17" s="24"/>
    </row>
    <row r="18" spans="1:16" x14ac:dyDescent="0.3">
      <c r="B18" s="21" t="s">
        <v>5</v>
      </c>
      <c r="C18" s="37">
        <v>0</v>
      </c>
      <c r="D18" s="8"/>
      <c r="E18" s="8"/>
      <c r="F18" s="9"/>
      <c r="G18" s="9"/>
      <c r="H18" s="9"/>
      <c r="I18" s="9"/>
      <c r="J18" s="8"/>
      <c r="K18" s="13"/>
      <c r="L18" s="14"/>
      <c r="M18" s="9"/>
      <c r="N18" s="24"/>
      <c r="O18" s="24"/>
    </row>
    <row r="19" spans="1:16" x14ac:dyDescent="0.3">
      <c r="B19" s="21" t="s">
        <v>6</v>
      </c>
      <c r="C19" s="39">
        <f>ROUND((C17*C18),0)</f>
        <v>0</v>
      </c>
      <c r="D19" s="8"/>
      <c r="E19" s="8"/>
      <c r="F19" s="9"/>
      <c r="G19" s="9"/>
      <c r="H19" s="9"/>
      <c r="I19" s="9"/>
      <c r="J19" s="8"/>
      <c r="K19" s="13"/>
      <c r="L19" s="14"/>
      <c r="M19" s="9"/>
      <c r="N19" s="24"/>
      <c r="O19" s="24"/>
    </row>
    <row r="20" spans="1:16" x14ac:dyDescent="0.3">
      <c r="B20" s="7"/>
      <c r="C20" s="8"/>
      <c r="D20" s="8"/>
      <c r="E20" s="8"/>
      <c r="F20" s="9"/>
      <c r="G20" s="9"/>
      <c r="H20" s="9"/>
      <c r="I20" s="9"/>
      <c r="J20" s="8"/>
      <c r="K20" s="13"/>
      <c r="L20" s="69">
        <v>23222470</v>
      </c>
      <c r="M20" s="47">
        <v>17018793</v>
      </c>
      <c r="N20" s="70">
        <f>L20-M20</f>
        <v>6203677</v>
      </c>
      <c r="O20" s="24">
        <v>5030</v>
      </c>
      <c r="P20" s="15">
        <f>N20/O20</f>
        <v>1233.3353876739563</v>
      </c>
    </row>
    <row r="21" spans="1:16" ht="22.5" customHeight="1" x14ac:dyDescent="0.3">
      <c r="B21" s="74" t="s">
        <v>13</v>
      </c>
      <c r="C21" s="75"/>
      <c r="D21" s="8"/>
      <c r="E21" s="8"/>
      <c r="F21" s="9"/>
      <c r="G21" s="9"/>
      <c r="H21" s="9"/>
      <c r="I21" s="9"/>
      <c r="J21" s="8"/>
      <c r="K21" s="9"/>
      <c r="L21" s="8"/>
      <c r="M21" s="9"/>
      <c r="N21" s="9"/>
      <c r="O21" s="9"/>
    </row>
    <row r="22" spans="1:16" x14ac:dyDescent="0.3">
      <c r="B22" s="20" t="s">
        <v>9</v>
      </c>
      <c r="C22" s="40">
        <v>1</v>
      </c>
      <c r="E22" s="25"/>
      <c r="F22" s="25"/>
      <c r="G22" s="26"/>
      <c r="H22" s="11"/>
      <c r="I22" s="11"/>
      <c r="L22" s="18"/>
    </row>
    <row r="23" spans="1:16" x14ac:dyDescent="0.3">
      <c r="B23" s="21" t="s">
        <v>5</v>
      </c>
      <c r="C23" s="37">
        <f>4600925+1100000</f>
        <v>5700925</v>
      </c>
      <c r="D23" s="27"/>
      <c r="E23" s="19"/>
      <c r="F23" s="19"/>
      <c r="G23" s="13"/>
      <c r="H23" s="11"/>
      <c r="I23" s="11"/>
      <c r="L23" s="18"/>
    </row>
    <row r="24" spans="1:16" x14ac:dyDescent="0.3">
      <c r="B24" s="21" t="s">
        <v>6</v>
      </c>
      <c r="C24" s="39">
        <f>ROUND((C22*C23),0)</f>
        <v>5700925</v>
      </c>
      <c r="D24" s="6"/>
      <c r="E24" s="6"/>
      <c r="F24" s="18"/>
      <c r="H24" s="11"/>
      <c r="I24" s="11"/>
      <c r="L24" s="18"/>
    </row>
    <row r="25" spans="1:16" x14ac:dyDescent="0.3">
      <c r="B25" s="36"/>
      <c r="C25" s="16"/>
      <c r="D25" s="6"/>
      <c r="E25" s="6"/>
      <c r="F25" s="18"/>
      <c r="H25" s="11"/>
      <c r="I25" s="11"/>
      <c r="L25" s="18"/>
    </row>
    <row r="26" spans="1:16" x14ac:dyDescent="0.3">
      <c r="C26" s="6" t="s">
        <v>18</v>
      </c>
      <c r="D26" s="6"/>
      <c r="E26" s="6"/>
      <c r="F26" s="18"/>
      <c r="H26" s="11"/>
      <c r="I26" s="11"/>
      <c r="L26" s="18"/>
    </row>
    <row r="27" spans="1:16" x14ac:dyDescent="0.3">
      <c r="B27" s="2" t="s">
        <v>11</v>
      </c>
      <c r="C27" s="45">
        <f>C4</f>
        <v>5789530</v>
      </c>
      <c r="D27" s="16"/>
      <c r="E27" s="16"/>
      <c r="F27" s="16"/>
      <c r="G27" s="16"/>
      <c r="H27" s="17"/>
      <c r="I27" s="48"/>
      <c r="L27" s="15"/>
    </row>
    <row r="28" spans="1:16" x14ac:dyDescent="0.3">
      <c r="B28" s="2" t="s">
        <v>12</v>
      </c>
      <c r="C28" s="45">
        <f>N14</f>
        <v>17018793</v>
      </c>
      <c r="D28" s="16"/>
      <c r="E28" s="16"/>
      <c r="F28" s="16"/>
      <c r="G28" s="16"/>
      <c r="H28" s="17"/>
      <c r="I28" s="17"/>
      <c r="L28" s="17"/>
    </row>
    <row r="29" spans="1:16" x14ac:dyDescent="0.3">
      <c r="B29" s="2" t="s">
        <v>17</v>
      </c>
      <c r="C29" s="45">
        <f>C19</f>
        <v>0</v>
      </c>
      <c r="D29" s="16"/>
      <c r="E29" s="16"/>
      <c r="F29" s="16"/>
      <c r="G29" s="16"/>
      <c r="H29" s="17"/>
      <c r="I29" s="17"/>
      <c r="L29" s="17"/>
    </row>
    <row r="30" spans="1:16" x14ac:dyDescent="0.3">
      <c r="A30" s="1"/>
      <c r="B30" s="2" t="s">
        <v>10</v>
      </c>
      <c r="C30" s="45">
        <f>C24</f>
        <v>5700925</v>
      </c>
      <c r="D30" s="16"/>
      <c r="E30" s="16"/>
      <c r="F30" s="16"/>
      <c r="G30" s="16"/>
      <c r="H30" s="17"/>
      <c r="I30" s="17"/>
      <c r="L30" s="17"/>
    </row>
    <row r="31" spans="1:16" x14ac:dyDescent="0.3">
      <c r="A31" s="1"/>
      <c r="B31" s="10" t="s">
        <v>42</v>
      </c>
      <c r="C31" s="46">
        <f>C27+C28+C29+C30</f>
        <v>28509248</v>
      </c>
      <c r="D31" s="15"/>
      <c r="F31" s="15"/>
    </row>
    <row r="32" spans="1:16" x14ac:dyDescent="0.3">
      <c r="A32" s="1"/>
      <c r="B32" s="10" t="s">
        <v>7</v>
      </c>
      <c r="C32" s="46">
        <f>MROUND(C31*90%,1)</f>
        <v>25658323</v>
      </c>
      <c r="D32" s="17"/>
      <c r="E32" s="1">
        <f>MROUND(C32,100)</f>
        <v>25658300</v>
      </c>
      <c r="F32" s="15"/>
      <c r="H32" s="29"/>
      <c r="I32" s="29"/>
    </row>
    <row r="33" spans="1:15" x14ac:dyDescent="0.3">
      <c r="A33" s="1"/>
      <c r="B33" s="10" t="s">
        <v>8</v>
      </c>
      <c r="C33" s="46">
        <f>MROUND(C31*80%,1)</f>
        <v>22807398</v>
      </c>
      <c r="D33" s="17"/>
      <c r="F33" s="15"/>
      <c r="H33" s="29"/>
      <c r="I33" s="29"/>
    </row>
    <row r="34" spans="1:15" s="8" customFormat="1" x14ac:dyDescent="0.3">
      <c r="B34" s="41" t="s">
        <v>37</v>
      </c>
      <c r="C34" s="47">
        <f>MROUND(C28*0.85,1)</f>
        <v>14465974</v>
      </c>
      <c r="D34" s="7"/>
      <c r="F34" s="9"/>
      <c r="G34" s="9"/>
      <c r="H34" s="9"/>
      <c r="I34" s="9"/>
      <c r="K34" s="9"/>
      <c r="M34" s="9"/>
      <c r="N34" s="9"/>
      <c r="O34" s="30"/>
    </row>
    <row r="35" spans="1:15" x14ac:dyDescent="0.3">
      <c r="A35" s="1"/>
      <c r="L35" s="31"/>
      <c r="O35" s="30"/>
    </row>
    <row r="36" spans="1:15" x14ac:dyDescent="0.3">
      <c r="A36" s="1"/>
      <c r="L36" s="31"/>
      <c r="O36" s="30"/>
    </row>
    <row r="37" spans="1:15" x14ac:dyDescent="0.3">
      <c r="A37" s="1"/>
      <c r="H37" s="29"/>
      <c r="I37" s="29"/>
      <c r="L37" s="31"/>
      <c r="O37" s="30"/>
    </row>
    <row r="38" spans="1:15" x14ac:dyDescent="0.3">
      <c r="A38" s="1"/>
      <c r="L38" s="31"/>
      <c r="O38" s="30"/>
    </row>
    <row r="39" spans="1:15" x14ac:dyDescent="0.3">
      <c r="A39" s="1"/>
      <c r="L39" s="31"/>
      <c r="O39" s="30"/>
    </row>
    <row r="40" spans="1:15" x14ac:dyDescent="0.3">
      <c r="A40" s="1"/>
      <c r="L40" s="31"/>
      <c r="O40" s="30"/>
    </row>
    <row r="41" spans="1:15" x14ac:dyDescent="0.3">
      <c r="A41" s="1"/>
      <c r="L41" s="31"/>
      <c r="O41" s="30"/>
    </row>
    <row r="42" spans="1:15" x14ac:dyDescent="0.3">
      <c r="A42" s="1"/>
    </row>
    <row r="43" spans="1:15" x14ac:dyDescent="0.3">
      <c r="A43" s="1"/>
    </row>
    <row r="44" spans="1:15" x14ac:dyDescent="0.3">
      <c r="A44" s="1"/>
      <c r="B44" s="1"/>
    </row>
    <row r="45" spans="1:15" x14ac:dyDescent="0.3">
      <c r="A45" s="1"/>
      <c r="B45" s="1"/>
    </row>
    <row r="46" spans="1:15" x14ac:dyDescent="0.3">
      <c r="A46" s="1"/>
      <c r="B46" s="1"/>
    </row>
    <row r="47" spans="1:15" x14ac:dyDescent="0.3">
      <c r="A47" s="1"/>
      <c r="B47" s="1"/>
    </row>
    <row r="48" spans="1:15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</row>
    <row r="51" spans="1:10" x14ac:dyDescent="0.3">
      <c r="A51" s="1"/>
      <c r="B51" s="1"/>
    </row>
    <row r="52" spans="1:10" x14ac:dyDescent="0.3">
      <c r="A52" s="1"/>
      <c r="B52" s="1"/>
    </row>
    <row r="53" spans="1:10" x14ac:dyDescent="0.3">
      <c r="A53" s="1"/>
      <c r="B53" s="1"/>
      <c r="F53" s="32"/>
      <c r="G53" s="32"/>
      <c r="H53" s="32"/>
      <c r="I53" s="32"/>
      <c r="J53" s="10"/>
    </row>
    <row r="54" spans="1:10" x14ac:dyDescent="0.3">
      <c r="A54" s="1"/>
      <c r="B54" s="1"/>
      <c r="F54" s="30"/>
      <c r="G54" s="1"/>
      <c r="H54" s="30"/>
      <c r="I54" s="30"/>
    </row>
    <row r="55" spans="1:10" x14ac:dyDescent="0.3">
      <c r="A55" s="1"/>
      <c r="B55" s="1"/>
      <c r="F55" s="30"/>
      <c r="G55" s="30"/>
      <c r="H55" s="33"/>
      <c r="I55" s="33"/>
    </row>
    <row r="56" spans="1:10" x14ac:dyDescent="0.3">
      <c r="A56" s="1"/>
      <c r="B56" s="1"/>
      <c r="F56" s="30"/>
      <c r="G56" s="30"/>
      <c r="H56" s="30"/>
      <c r="I56" s="30"/>
    </row>
    <row r="57" spans="1:10" x14ac:dyDescent="0.3">
      <c r="A57" s="1"/>
      <c r="B57" s="1"/>
      <c r="F57" s="30"/>
      <c r="G57" s="34"/>
      <c r="H57" s="30"/>
      <c r="I57" s="30"/>
    </row>
    <row r="58" spans="1:10" x14ac:dyDescent="0.3">
      <c r="A58" s="1"/>
      <c r="B58" s="1"/>
      <c r="F58" s="30"/>
      <c r="G58" s="30"/>
      <c r="H58" s="30"/>
      <c r="I58" s="30"/>
    </row>
    <row r="59" spans="1:10" x14ac:dyDescent="0.3">
      <c r="A59" s="1"/>
      <c r="B59" s="1"/>
      <c r="F59" s="30"/>
      <c r="G59" s="30"/>
      <c r="H59" s="30"/>
      <c r="I59" s="30"/>
    </row>
    <row r="60" spans="1:10" x14ac:dyDescent="0.3">
      <c r="A60" s="1"/>
      <c r="B60" s="1"/>
      <c r="F60" s="30"/>
      <c r="G60" s="30"/>
      <c r="H60" s="30"/>
      <c r="I60" s="30"/>
    </row>
    <row r="61" spans="1:10" x14ac:dyDescent="0.3">
      <c r="A61" s="1"/>
      <c r="B61" s="1"/>
      <c r="F61" s="30"/>
      <c r="G61" s="30"/>
      <c r="H61" s="30"/>
      <c r="I61" s="30"/>
    </row>
    <row r="62" spans="1:10" x14ac:dyDescent="0.3">
      <c r="A62" s="1"/>
      <c r="B62" s="1"/>
      <c r="F62" s="30"/>
      <c r="G62" s="30"/>
      <c r="H62" s="30"/>
      <c r="I62" s="30"/>
    </row>
    <row r="63" spans="1:10" x14ac:dyDescent="0.3">
      <c r="A63" s="1"/>
      <c r="B63" s="1"/>
      <c r="F63" s="30"/>
      <c r="G63" s="30"/>
      <c r="H63" s="30"/>
      <c r="I63" s="30"/>
    </row>
    <row r="64" spans="1:10" x14ac:dyDescent="0.3">
      <c r="A64" s="1"/>
      <c r="B64" s="1"/>
    </row>
    <row r="65" spans="1:6" x14ac:dyDescent="0.3">
      <c r="A65" s="1"/>
      <c r="B65" s="1"/>
    </row>
    <row r="66" spans="1:6" x14ac:dyDescent="0.3">
      <c r="A66" s="1"/>
      <c r="B66" s="1"/>
    </row>
    <row r="67" spans="1:6" x14ac:dyDescent="0.3">
      <c r="A67" s="1"/>
      <c r="B67" s="1"/>
    </row>
    <row r="68" spans="1:6" x14ac:dyDescent="0.3">
      <c r="A68" s="1"/>
      <c r="B68" s="1"/>
    </row>
    <row r="69" spans="1:6" x14ac:dyDescent="0.3">
      <c r="A69" s="1"/>
      <c r="B69" s="1"/>
      <c r="F69" s="35"/>
    </row>
    <row r="70" spans="1:6" x14ac:dyDescent="0.3">
      <c r="A70" s="1"/>
      <c r="B70" s="1"/>
      <c r="F70" s="35"/>
    </row>
    <row r="71" spans="1:6" x14ac:dyDescent="0.3">
      <c r="A71" s="1"/>
      <c r="B71" s="1"/>
      <c r="F71" s="35"/>
    </row>
    <row r="72" spans="1:6" x14ac:dyDescent="0.3">
      <c r="A72" s="1"/>
      <c r="B72" s="1"/>
      <c r="F72" s="35"/>
    </row>
    <row r="73" spans="1:6" x14ac:dyDescent="0.3">
      <c r="A73" s="1"/>
      <c r="B73" s="1"/>
      <c r="F73" s="35"/>
    </row>
    <row r="74" spans="1:6" x14ac:dyDescent="0.3">
      <c r="A74" s="1"/>
      <c r="B74" s="1"/>
      <c r="F74" s="35"/>
    </row>
    <row r="75" spans="1:6" x14ac:dyDescent="0.3">
      <c r="A75" s="1"/>
      <c r="B75" s="1"/>
      <c r="F75" s="35"/>
    </row>
    <row r="76" spans="1:6" x14ac:dyDescent="0.3">
      <c r="A76" s="1"/>
      <c r="B76" s="1"/>
      <c r="F76" s="35"/>
    </row>
    <row r="77" spans="1:6" x14ac:dyDescent="0.3">
      <c r="A77" s="1"/>
      <c r="B77" s="1"/>
      <c r="F77" s="35"/>
    </row>
    <row r="78" spans="1:6" x14ac:dyDescent="0.3">
      <c r="A78" s="1"/>
      <c r="B78" s="1"/>
      <c r="F78" s="35"/>
    </row>
    <row r="79" spans="1:6" x14ac:dyDescent="0.3">
      <c r="A79" s="1"/>
      <c r="B79" s="1"/>
    </row>
    <row r="80" spans="1:6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  <row r="169" spans="1:2" x14ac:dyDescent="0.3">
      <c r="A169" s="1"/>
      <c r="B169" s="1"/>
    </row>
  </sheetData>
  <mergeCells count="2">
    <mergeCell ref="B16:C16"/>
    <mergeCell ref="B21:C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EBAB5-676B-41DA-8E10-A3BFEF60997E}">
  <dimension ref="A1:S169"/>
  <sheetViews>
    <sheetView tabSelected="1" workbookViewId="0">
      <pane xSplit="2" ySplit="6" topLeftCell="C13" activePane="bottomRight" state="frozen"/>
      <selection pane="topRight" activeCell="C1" sqref="C1"/>
      <selection pane="bottomLeft" activeCell="A7" sqref="A7"/>
      <selection pane="bottomRight" activeCell="C34" sqref="C34"/>
    </sheetView>
  </sheetViews>
  <sheetFormatPr defaultRowHeight="16.5" x14ac:dyDescent="0.3"/>
  <cols>
    <col min="1" max="1" width="9.140625" style="36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5" bestFit="1" customWidth="1"/>
    <col min="8" max="8" width="15.28515625" style="5" bestFit="1" customWidth="1"/>
    <col min="9" max="9" width="15.28515625" style="5" customWidth="1"/>
    <col min="10" max="10" width="13.85546875" style="1" bestFit="1" customWidth="1"/>
    <col min="11" max="11" width="15.42578125" style="5" bestFit="1" customWidth="1"/>
    <col min="12" max="12" width="14.140625" style="1" customWidth="1"/>
    <col min="13" max="13" width="13.28515625" style="5" bestFit="1" customWidth="1"/>
    <col min="14" max="14" width="14.85546875" style="5" customWidth="1"/>
    <col min="15" max="15" width="14.85546875" style="5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0" t="s">
        <v>11</v>
      </c>
      <c r="E1" s="1" t="s">
        <v>31</v>
      </c>
      <c r="F1" s="5" t="s">
        <v>32</v>
      </c>
      <c r="H1" s="5" t="s">
        <v>30</v>
      </c>
      <c r="K1" s="5" t="s">
        <v>20</v>
      </c>
      <c r="O1" s="5" t="s">
        <v>25</v>
      </c>
      <c r="R1" s="5" t="s">
        <v>25</v>
      </c>
    </row>
    <row r="2" spans="1:19" x14ac:dyDescent="0.3">
      <c r="B2" s="20" t="s">
        <v>9</v>
      </c>
      <c r="C2" s="44">
        <v>5030</v>
      </c>
      <c r="D2" s="5" t="s">
        <v>31</v>
      </c>
      <c r="E2" s="4">
        <v>0</v>
      </c>
      <c r="F2" s="4">
        <f>MROUND(E2*10.764,1)</f>
        <v>0</v>
      </c>
      <c r="G2" s="22"/>
      <c r="H2" s="1" t="s">
        <v>31</v>
      </c>
      <c r="I2" s="44">
        <v>0</v>
      </c>
      <c r="J2" s="44">
        <f>C2</f>
        <v>5030</v>
      </c>
      <c r="K2" s="44">
        <v>200</v>
      </c>
      <c r="L2" s="38">
        <f>J2*K2</f>
        <v>1006000</v>
      </c>
      <c r="O2" s="41" t="s">
        <v>27</v>
      </c>
      <c r="P2" s="42">
        <f>C31</f>
        <v>21518174</v>
      </c>
      <c r="R2" s="17">
        <f>P2*0.025/12</f>
        <v>44829.529166666667</v>
      </c>
      <c r="S2" s="15" t="s">
        <v>26</v>
      </c>
    </row>
    <row r="3" spans="1:19" x14ac:dyDescent="0.3">
      <c r="B3" s="21" t="s">
        <v>5</v>
      </c>
      <c r="C3" s="15">
        <v>1368</v>
      </c>
      <c r="D3" s="12"/>
      <c r="E3" s="23"/>
      <c r="F3" s="23"/>
      <c r="G3" s="12"/>
      <c r="H3" s="1" t="s">
        <v>32</v>
      </c>
      <c r="I3" s="44">
        <f>MROUND(I2/10.764,1)</f>
        <v>0</v>
      </c>
      <c r="J3" s="44"/>
      <c r="K3" s="38"/>
      <c r="L3" s="38">
        <f>N14</f>
        <v>8937134</v>
      </c>
      <c r="O3" s="41" t="s">
        <v>27</v>
      </c>
      <c r="P3" s="42">
        <f>C31</f>
        <v>21518174</v>
      </c>
      <c r="Q3" s="5"/>
      <c r="R3" s="17">
        <f>P3*0.04/12</f>
        <v>71727.246666666659</v>
      </c>
      <c r="S3" s="43" t="s">
        <v>28</v>
      </c>
    </row>
    <row r="4" spans="1:19" x14ac:dyDescent="0.3">
      <c r="B4" s="28" t="s">
        <v>14</v>
      </c>
      <c r="C4" s="38">
        <f>ROUND((C2*C3),0)</f>
        <v>6881040</v>
      </c>
      <c r="F4" s="19"/>
      <c r="G4" s="19"/>
      <c r="I4" s="38"/>
      <c r="J4" s="44"/>
      <c r="K4" s="38"/>
      <c r="L4" s="38">
        <f>SUM(L2:L3)</f>
        <v>9943134</v>
      </c>
      <c r="O4" s="41" t="s">
        <v>27</v>
      </c>
      <c r="P4" s="42">
        <f>C31</f>
        <v>21518174</v>
      </c>
      <c r="Q4" s="5"/>
      <c r="R4" s="17">
        <f>P4*0.033/12</f>
        <v>59174.978500000005</v>
      </c>
      <c r="S4" s="15" t="s">
        <v>29</v>
      </c>
    </row>
    <row r="5" spans="1:19" x14ac:dyDescent="0.3">
      <c r="B5" s="10" t="s">
        <v>12</v>
      </c>
    </row>
    <row r="6" spans="1:19" s="3" customFormat="1" ht="57" x14ac:dyDescent="0.2">
      <c r="A6" s="50" t="s">
        <v>19</v>
      </c>
      <c r="B6" s="51" t="s">
        <v>22</v>
      </c>
      <c r="C6" s="51" t="s">
        <v>24</v>
      </c>
      <c r="D6" s="51" t="s">
        <v>0</v>
      </c>
      <c r="E6" s="51" t="s">
        <v>1</v>
      </c>
      <c r="F6" s="51" t="s">
        <v>2</v>
      </c>
      <c r="G6" s="51" t="s">
        <v>33</v>
      </c>
      <c r="H6" s="52" t="s">
        <v>38</v>
      </c>
      <c r="I6" s="52" t="s">
        <v>23</v>
      </c>
      <c r="J6" s="53" t="s">
        <v>3</v>
      </c>
      <c r="K6" s="53" t="s">
        <v>4</v>
      </c>
      <c r="L6" s="52" t="s">
        <v>34</v>
      </c>
      <c r="M6" s="54" t="s">
        <v>21</v>
      </c>
      <c r="N6" s="54" t="s">
        <v>35</v>
      </c>
      <c r="O6" s="54" t="s">
        <v>36</v>
      </c>
    </row>
    <row r="7" spans="1:19" s="3" customFormat="1" ht="14.25" x14ac:dyDescent="0.2">
      <c r="A7" s="50"/>
      <c r="B7" s="51"/>
      <c r="C7" s="52" t="s">
        <v>49</v>
      </c>
      <c r="D7" s="51"/>
      <c r="E7" s="51"/>
      <c r="F7" s="51"/>
      <c r="G7" s="55" t="s">
        <v>40</v>
      </c>
      <c r="H7" s="49" t="s">
        <v>39</v>
      </c>
      <c r="I7" s="49" t="s">
        <v>39</v>
      </c>
      <c r="J7" s="53"/>
      <c r="K7" s="53"/>
      <c r="L7" s="53" t="s">
        <v>41</v>
      </c>
      <c r="M7" s="53" t="s">
        <v>41</v>
      </c>
      <c r="N7" s="53" t="s">
        <v>41</v>
      </c>
      <c r="O7" s="53" t="s">
        <v>41</v>
      </c>
    </row>
    <row r="8" spans="1:19" s="8" customFormat="1" x14ac:dyDescent="0.25">
      <c r="A8" s="56">
        <v>1</v>
      </c>
      <c r="B8" s="57" t="s">
        <v>43</v>
      </c>
      <c r="C8" s="58">
        <v>687.01</v>
      </c>
      <c r="D8" s="59">
        <v>2005</v>
      </c>
      <c r="E8" s="59">
        <v>2024</v>
      </c>
      <c r="F8" s="59">
        <v>50</v>
      </c>
      <c r="G8" s="60">
        <v>12000</v>
      </c>
      <c r="H8" s="61">
        <f t="shared" ref="H8:H13" si="0">E8-D8</f>
        <v>19</v>
      </c>
      <c r="I8" s="61">
        <f t="shared" ref="I8:I13" si="1">F8-H8</f>
        <v>31</v>
      </c>
      <c r="J8" s="61">
        <f t="shared" ref="J8:J13" si="2">IF(H8&gt;=5,90*H8/F8,0)</f>
        <v>34.200000000000003</v>
      </c>
      <c r="K8" s="61">
        <f t="shared" ref="K8:K13" si="3">G8/100*J8</f>
        <v>4104</v>
      </c>
      <c r="L8" s="72">
        <f t="shared" ref="L8:L13" si="4">ROUND((G8-K8),0)</f>
        <v>7896</v>
      </c>
      <c r="M8" s="61">
        <f t="shared" ref="M8:M13" si="5">O8-N8</f>
        <v>2819489</v>
      </c>
      <c r="N8" s="72">
        <f t="shared" ref="N8:N13" si="6">ROUND((L8*C8),0)</f>
        <v>5424631</v>
      </c>
      <c r="O8" s="72">
        <f t="shared" ref="O8:O13" si="7">ROUND((C8*G8),0)</f>
        <v>8244120</v>
      </c>
    </row>
    <row r="9" spans="1:19" s="8" customFormat="1" x14ac:dyDescent="0.25">
      <c r="A9" s="56">
        <v>2</v>
      </c>
      <c r="B9" s="57" t="s">
        <v>44</v>
      </c>
      <c r="C9" s="58">
        <v>347.44</v>
      </c>
      <c r="D9" s="59">
        <v>2005</v>
      </c>
      <c r="E9" s="59">
        <v>2024</v>
      </c>
      <c r="F9" s="59">
        <v>50</v>
      </c>
      <c r="G9" s="60">
        <v>10000</v>
      </c>
      <c r="H9" s="61">
        <f t="shared" si="0"/>
        <v>19</v>
      </c>
      <c r="I9" s="61">
        <f t="shared" si="1"/>
        <v>31</v>
      </c>
      <c r="J9" s="61">
        <f t="shared" si="2"/>
        <v>34.200000000000003</v>
      </c>
      <c r="K9" s="61">
        <f t="shared" si="3"/>
        <v>3420.0000000000005</v>
      </c>
      <c r="L9" s="72">
        <f t="shared" si="4"/>
        <v>6580</v>
      </c>
      <c r="M9" s="61">
        <f t="shared" si="5"/>
        <v>1188245</v>
      </c>
      <c r="N9" s="72">
        <f t="shared" si="6"/>
        <v>2286155</v>
      </c>
      <c r="O9" s="72">
        <f t="shared" si="7"/>
        <v>3474400</v>
      </c>
    </row>
    <row r="10" spans="1:19" s="8" customFormat="1" ht="17.25" customHeight="1" x14ac:dyDescent="0.25">
      <c r="A10" s="56">
        <v>3</v>
      </c>
      <c r="B10" s="57" t="s">
        <v>45</v>
      </c>
      <c r="C10" s="58">
        <v>93.87</v>
      </c>
      <c r="D10" s="59">
        <v>2005</v>
      </c>
      <c r="E10" s="59">
        <v>2024</v>
      </c>
      <c r="F10" s="59">
        <v>50</v>
      </c>
      <c r="G10" s="60">
        <v>10000</v>
      </c>
      <c r="H10" s="61">
        <f t="shared" si="0"/>
        <v>19</v>
      </c>
      <c r="I10" s="61">
        <f t="shared" si="1"/>
        <v>31</v>
      </c>
      <c r="J10" s="61">
        <f t="shared" si="2"/>
        <v>34.200000000000003</v>
      </c>
      <c r="K10" s="61">
        <f t="shared" si="3"/>
        <v>3420.0000000000005</v>
      </c>
      <c r="L10" s="72">
        <f t="shared" si="4"/>
        <v>6580</v>
      </c>
      <c r="M10" s="61">
        <f t="shared" si="5"/>
        <v>321035</v>
      </c>
      <c r="N10" s="72">
        <f t="shared" si="6"/>
        <v>617665</v>
      </c>
      <c r="O10" s="72">
        <f t="shared" si="7"/>
        <v>938700</v>
      </c>
    </row>
    <row r="11" spans="1:19" s="8" customFormat="1" x14ac:dyDescent="0.25">
      <c r="A11" s="56">
        <v>4</v>
      </c>
      <c r="B11" s="57" t="s">
        <v>46</v>
      </c>
      <c r="C11" s="58">
        <v>43.81</v>
      </c>
      <c r="D11" s="59">
        <v>2005</v>
      </c>
      <c r="E11" s="59">
        <v>2024</v>
      </c>
      <c r="F11" s="59">
        <v>50</v>
      </c>
      <c r="G11" s="60">
        <v>15000</v>
      </c>
      <c r="H11" s="61">
        <f t="shared" si="0"/>
        <v>19</v>
      </c>
      <c r="I11" s="61">
        <f t="shared" si="1"/>
        <v>31</v>
      </c>
      <c r="J11" s="61">
        <f t="shared" si="2"/>
        <v>34.200000000000003</v>
      </c>
      <c r="K11" s="61">
        <f t="shared" si="3"/>
        <v>5130</v>
      </c>
      <c r="L11" s="72">
        <f t="shared" si="4"/>
        <v>9870</v>
      </c>
      <c r="M11" s="61">
        <f t="shared" si="5"/>
        <v>224745</v>
      </c>
      <c r="N11" s="72">
        <f t="shared" si="6"/>
        <v>432405</v>
      </c>
      <c r="O11" s="72">
        <f t="shared" si="7"/>
        <v>657150</v>
      </c>
    </row>
    <row r="12" spans="1:19" s="8" customFormat="1" x14ac:dyDescent="0.25">
      <c r="A12" s="56">
        <v>5</v>
      </c>
      <c r="B12" s="57" t="s">
        <v>47</v>
      </c>
      <c r="C12" s="58">
        <v>7.56</v>
      </c>
      <c r="D12" s="59">
        <v>2005</v>
      </c>
      <c r="E12" s="59">
        <v>2024</v>
      </c>
      <c r="F12" s="59">
        <v>50</v>
      </c>
      <c r="G12" s="60">
        <v>15000</v>
      </c>
      <c r="H12" s="61">
        <f t="shared" si="0"/>
        <v>19</v>
      </c>
      <c r="I12" s="61">
        <f t="shared" si="1"/>
        <v>31</v>
      </c>
      <c r="J12" s="61">
        <f t="shared" si="2"/>
        <v>34.200000000000003</v>
      </c>
      <c r="K12" s="61">
        <f t="shared" si="3"/>
        <v>5130</v>
      </c>
      <c r="L12" s="72">
        <f t="shared" si="4"/>
        <v>9870</v>
      </c>
      <c r="M12" s="61">
        <f t="shared" si="5"/>
        <v>38783</v>
      </c>
      <c r="N12" s="72">
        <f t="shared" si="6"/>
        <v>74617</v>
      </c>
      <c r="O12" s="72">
        <f t="shared" si="7"/>
        <v>113400</v>
      </c>
    </row>
    <row r="13" spans="1:19" x14ac:dyDescent="0.3">
      <c r="A13" s="62">
        <v>6</v>
      </c>
      <c r="B13" s="57" t="s">
        <v>48</v>
      </c>
      <c r="C13" s="58">
        <v>15.45</v>
      </c>
      <c r="D13" s="59">
        <v>2005</v>
      </c>
      <c r="E13" s="59">
        <v>2024</v>
      </c>
      <c r="F13" s="59">
        <v>50</v>
      </c>
      <c r="G13" s="60">
        <v>10000</v>
      </c>
      <c r="H13" s="61">
        <f t="shared" si="0"/>
        <v>19</v>
      </c>
      <c r="I13" s="61">
        <f t="shared" si="1"/>
        <v>31</v>
      </c>
      <c r="J13" s="61">
        <f t="shared" si="2"/>
        <v>34.200000000000003</v>
      </c>
      <c r="K13" s="61">
        <f t="shared" si="3"/>
        <v>3420.0000000000005</v>
      </c>
      <c r="L13" s="72">
        <f t="shared" si="4"/>
        <v>6580</v>
      </c>
      <c r="M13" s="63">
        <f t="shared" si="5"/>
        <v>52839</v>
      </c>
      <c r="N13" s="72">
        <f t="shared" si="6"/>
        <v>101661</v>
      </c>
      <c r="O13" s="72">
        <f t="shared" si="7"/>
        <v>154500</v>
      </c>
    </row>
    <row r="14" spans="1:19" x14ac:dyDescent="0.3">
      <c r="A14" s="62"/>
      <c r="B14" s="64"/>
      <c r="C14" s="71">
        <f>SUM(C8:C13)</f>
        <v>1195.1400000000001</v>
      </c>
      <c r="D14" s="65"/>
      <c r="E14" s="65"/>
      <c r="F14" s="66"/>
      <c r="G14" s="61"/>
      <c r="H14" s="61"/>
      <c r="I14" s="61"/>
      <c r="J14" s="67"/>
      <c r="K14" s="61"/>
      <c r="L14" s="67"/>
      <c r="M14" s="61">
        <f>SUM(M8:M13)</f>
        <v>4645136</v>
      </c>
      <c r="N14" s="72">
        <f>SUM(N8:N13)</f>
        <v>8937134</v>
      </c>
      <c r="O14" s="72">
        <f>SUM(O8:O13)</f>
        <v>13582270</v>
      </c>
    </row>
    <row r="15" spans="1:19" x14ac:dyDescent="0.3">
      <c r="B15" s="7"/>
      <c r="C15" s="8"/>
      <c r="D15" s="8"/>
      <c r="E15" s="8"/>
      <c r="F15" s="9"/>
      <c r="G15" s="9"/>
      <c r="H15" s="9"/>
      <c r="I15" s="9"/>
      <c r="J15" s="8"/>
      <c r="K15" s="13"/>
      <c r="L15" s="14"/>
      <c r="M15" s="9"/>
      <c r="N15" s="24"/>
      <c r="O15" s="24"/>
    </row>
    <row r="16" spans="1:19" x14ac:dyDescent="0.3">
      <c r="B16" s="73" t="s">
        <v>16</v>
      </c>
      <c r="C16" s="73"/>
      <c r="D16" s="8"/>
      <c r="E16" s="8"/>
      <c r="F16" s="9"/>
      <c r="G16" s="9"/>
      <c r="H16" s="9"/>
      <c r="I16" s="9"/>
      <c r="J16" s="8"/>
      <c r="K16" s="13"/>
      <c r="L16" s="14"/>
      <c r="M16" s="9"/>
      <c r="N16" s="24"/>
      <c r="O16" s="24"/>
    </row>
    <row r="17" spans="1:15" x14ac:dyDescent="0.3">
      <c r="B17" s="20" t="s">
        <v>15</v>
      </c>
      <c r="C17" s="40">
        <v>0</v>
      </c>
      <c r="D17" s="8"/>
      <c r="E17" s="8"/>
      <c r="F17" s="9"/>
      <c r="G17" s="9"/>
      <c r="H17" s="9"/>
      <c r="I17" s="9"/>
      <c r="J17" s="8"/>
      <c r="K17" s="13"/>
      <c r="L17" s="14"/>
      <c r="M17" s="9"/>
      <c r="N17" s="24"/>
      <c r="O17" s="24"/>
    </row>
    <row r="18" spans="1:15" x14ac:dyDescent="0.3">
      <c r="B18" s="21" t="s">
        <v>5</v>
      </c>
      <c r="C18" s="37">
        <v>0</v>
      </c>
      <c r="D18" s="8"/>
      <c r="E18" s="8"/>
      <c r="F18" s="9"/>
      <c r="G18" s="9"/>
      <c r="H18" s="9"/>
      <c r="I18" s="9"/>
      <c r="J18" s="8"/>
      <c r="K18" s="13"/>
      <c r="L18" s="14"/>
      <c r="M18" s="9"/>
      <c r="N18" s="24"/>
      <c r="O18" s="24"/>
    </row>
    <row r="19" spans="1:15" x14ac:dyDescent="0.3">
      <c r="B19" s="21" t="s">
        <v>6</v>
      </c>
      <c r="C19" s="39">
        <f>ROUND((C17*C18),0)</f>
        <v>0</v>
      </c>
      <c r="D19" s="8"/>
      <c r="E19" s="8"/>
      <c r="F19" s="9"/>
      <c r="G19" s="9"/>
      <c r="H19" s="9"/>
      <c r="I19" s="9"/>
      <c r="J19" s="8"/>
      <c r="K19" s="13"/>
      <c r="L19" s="14"/>
      <c r="M19" s="9"/>
      <c r="N19" s="24"/>
      <c r="O19" s="24"/>
    </row>
    <row r="20" spans="1:15" x14ac:dyDescent="0.3">
      <c r="B20" s="7"/>
      <c r="C20" s="8"/>
      <c r="D20" s="8"/>
      <c r="E20" s="8"/>
      <c r="F20" s="9"/>
      <c r="G20" s="9"/>
      <c r="H20" s="9"/>
      <c r="I20" s="9"/>
      <c r="J20" s="8"/>
      <c r="K20" s="13"/>
      <c r="L20" s="14"/>
      <c r="M20" s="9"/>
      <c r="N20" s="24"/>
      <c r="O20" s="24"/>
    </row>
    <row r="21" spans="1:15" ht="22.5" customHeight="1" x14ac:dyDescent="0.3">
      <c r="B21" s="74" t="s">
        <v>13</v>
      </c>
      <c r="C21" s="75"/>
      <c r="D21" s="8"/>
      <c r="E21" s="8"/>
      <c r="F21" s="9"/>
      <c r="G21" s="9"/>
      <c r="H21" s="9"/>
      <c r="I21" s="9"/>
      <c r="J21" s="8"/>
      <c r="K21" s="9"/>
      <c r="L21" s="8"/>
      <c r="M21" s="9"/>
      <c r="N21" s="9"/>
      <c r="O21" s="9"/>
    </row>
    <row r="22" spans="1:15" x14ac:dyDescent="0.3">
      <c r="B22" s="20" t="s">
        <v>9</v>
      </c>
      <c r="C22" s="40">
        <v>1</v>
      </c>
      <c r="E22" s="25"/>
      <c r="F22" s="25"/>
      <c r="G22" s="26"/>
      <c r="H22" s="11"/>
      <c r="I22" s="11"/>
      <c r="L22" s="18"/>
    </row>
    <row r="23" spans="1:15" x14ac:dyDescent="0.3">
      <c r="B23" s="21" t="s">
        <v>5</v>
      </c>
      <c r="C23" s="37">
        <f>4600925+1100000</f>
        <v>5700925</v>
      </c>
      <c r="D23" s="27"/>
      <c r="E23" s="19"/>
      <c r="F23" s="19"/>
      <c r="G23" s="13"/>
      <c r="H23" s="11"/>
      <c r="I23" s="11"/>
      <c r="L23" s="18"/>
    </row>
    <row r="24" spans="1:15" x14ac:dyDescent="0.3">
      <c r="B24" s="21" t="s">
        <v>6</v>
      </c>
      <c r="C24" s="39">
        <v>5700000</v>
      </c>
      <c r="D24" s="6"/>
      <c r="E24" s="6"/>
      <c r="F24" s="18"/>
      <c r="H24" s="11"/>
      <c r="I24" s="11"/>
      <c r="L24" s="18"/>
    </row>
    <row r="25" spans="1:15" x14ac:dyDescent="0.3">
      <c r="B25" s="36"/>
      <c r="C25" s="16"/>
      <c r="D25" s="6"/>
      <c r="E25" s="6"/>
      <c r="F25" s="18"/>
      <c r="H25" s="11"/>
      <c r="I25" s="11"/>
      <c r="L25" s="18"/>
    </row>
    <row r="26" spans="1:15" x14ac:dyDescent="0.3">
      <c r="C26" s="6" t="s">
        <v>18</v>
      </c>
      <c r="D26" s="6"/>
      <c r="E26" s="6"/>
      <c r="F26" s="18"/>
      <c r="H26" s="11"/>
      <c r="I26" s="11"/>
      <c r="L26" s="18"/>
    </row>
    <row r="27" spans="1:15" x14ac:dyDescent="0.3">
      <c r="B27" s="2" t="s">
        <v>11</v>
      </c>
      <c r="C27" s="45">
        <f>C4</f>
        <v>6881040</v>
      </c>
      <c r="D27" s="16"/>
      <c r="E27" s="16"/>
      <c r="F27" s="16"/>
      <c r="G27" s="16"/>
      <c r="H27" s="17"/>
      <c r="I27" s="48"/>
      <c r="L27" s="15"/>
    </row>
    <row r="28" spans="1:15" x14ac:dyDescent="0.3">
      <c r="B28" s="2" t="s">
        <v>12</v>
      </c>
      <c r="C28" s="45">
        <f>N14</f>
        <v>8937134</v>
      </c>
      <c r="D28" s="16"/>
      <c r="E28" s="16"/>
      <c r="F28" s="16"/>
      <c r="G28" s="16"/>
      <c r="H28" s="17"/>
      <c r="I28" s="17"/>
      <c r="L28" s="17"/>
    </row>
    <row r="29" spans="1:15" x14ac:dyDescent="0.3">
      <c r="B29" s="2" t="s">
        <v>17</v>
      </c>
      <c r="C29" s="45">
        <f>C19</f>
        <v>0</v>
      </c>
      <c r="D29" s="16"/>
      <c r="E29" s="16"/>
      <c r="F29" s="16"/>
      <c r="G29" s="16"/>
      <c r="H29" s="17"/>
      <c r="I29" s="17"/>
      <c r="L29" s="17"/>
    </row>
    <row r="30" spans="1:15" x14ac:dyDescent="0.3">
      <c r="A30" s="1"/>
      <c r="B30" s="2" t="s">
        <v>10</v>
      </c>
      <c r="C30" s="45">
        <f>C24</f>
        <v>5700000</v>
      </c>
      <c r="D30" s="16"/>
      <c r="E30" s="16"/>
      <c r="F30" s="16"/>
      <c r="G30" s="16"/>
      <c r="H30" s="17"/>
      <c r="I30" s="17"/>
      <c r="L30" s="17"/>
    </row>
    <row r="31" spans="1:15" x14ac:dyDescent="0.3">
      <c r="A31" s="1"/>
      <c r="B31" s="10" t="s">
        <v>42</v>
      </c>
      <c r="C31" s="46">
        <f>C27+C28+C29+C30</f>
        <v>21518174</v>
      </c>
      <c r="D31" s="15"/>
      <c r="F31" s="15"/>
    </row>
    <row r="32" spans="1:15" x14ac:dyDescent="0.3">
      <c r="A32" s="1"/>
      <c r="B32" s="10" t="s">
        <v>7</v>
      </c>
      <c r="C32" s="46">
        <f>MROUND(C31*90%,1)</f>
        <v>19366357</v>
      </c>
      <c r="D32" s="17"/>
      <c r="F32" s="15"/>
      <c r="H32" s="29"/>
      <c r="I32" s="29"/>
    </row>
    <row r="33" spans="1:15" x14ac:dyDescent="0.3">
      <c r="A33" s="1"/>
      <c r="B33" s="10" t="s">
        <v>8</v>
      </c>
      <c r="C33" s="46">
        <f>MROUND(C31*80%,1)</f>
        <v>17214539</v>
      </c>
      <c r="D33" s="17"/>
      <c r="F33" s="15"/>
      <c r="H33" s="29"/>
      <c r="I33" s="29"/>
    </row>
    <row r="34" spans="1:15" s="8" customFormat="1" x14ac:dyDescent="0.3">
      <c r="B34" s="41" t="s">
        <v>37</v>
      </c>
      <c r="C34" s="76">
        <f>MROUND(C28*0.85,1)</f>
        <v>7596564</v>
      </c>
      <c r="D34" s="7"/>
      <c r="F34" s="9"/>
      <c r="G34" s="9"/>
      <c r="H34" s="9"/>
      <c r="I34" s="9"/>
      <c r="K34" s="9"/>
      <c r="M34" s="9"/>
      <c r="N34" s="9"/>
      <c r="O34" s="30"/>
    </row>
    <row r="35" spans="1:15" x14ac:dyDescent="0.3">
      <c r="A35" s="1"/>
      <c r="L35" s="31"/>
      <c r="O35" s="30"/>
    </row>
    <row r="36" spans="1:15" x14ac:dyDescent="0.3">
      <c r="A36" s="1"/>
      <c r="L36" s="31"/>
      <c r="O36" s="30"/>
    </row>
    <row r="37" spans="1:15" x14ac:dyDescent="0.3">
      <c r="A37" s="1"/>
      <c r="H37" s="29"/>
      <c r="I37" s="29"/>
      <c r="L37" s="31"/>
      <c r="O37" s="30"/>
    </row>
    <row r="38" spans="1:15" x14ac:dyDescent="0.3">
      <c r="A38" s="1"/>
      <c r="L38" s="31"/>
      <c r="O38" s="30"/>
    </row>
    <row r="39" spans="1:15" x14ac:dyDescent="0.3">
      <c r="A39" s="1"/>
      <c r="L39" s="31"/>
      <c r="O39" s="30"/>
    </row>
    <row r="40" spans="1:15" x14ac:dyDescent="0.3">
      <c r="A40" s="1"/>
      <c r="L40" s="31"/>
      <c r="O40" s="30"/>
    </row>
    <row r="41" spans="1:15" x14ac:dyDescent="0.3">
      <c r="A41" s="1"/>
      <c r="L41" s="31"/>
      <c r="O41" s="30"/>
    </row>
    <row r="42" spans="1:15" x14ac:dyDescent="0.3">
      <c r="A42" s="1"/>
    </row>
    <row r="43" spans="1:15" x14ac:dyDescent="0.3">
      <c r="A43" s="1"/>
    </row>
    <row r="44" spans="1:15" x14ac:dyDescent="0.3">
      <c r="A44" s="1"/>
      <c r="B44" s="1"/>
    </row>
    <row r="45" spans="1:15" x14ac:dyDescent="0.3">
      <c r="A45" s="1"/>
      <c r="B45" s="1"/>
    </row>
    <row r="46" spans="1:15" x14ac:dyDescent="0.3">
      <c r="A46" s="1"/>
      <c r="B46" s="1"/>
    </row>
    <row r="47" spans="1:15" x14ac:dyDescent="0.3">
      <c r="A47" s="1"/>
      <c r="B47" s="1"/>
    </row>
    <row r="48" spans="1:15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</row>
    <row r="51" spans="1:10" x14ac:dyDescent="0.3">
      <c r="A51" s="1"/>
      <c r="B51" s="1"/>
    </row>
    <row r="52" spans="1:10" x14ac:dyDescent="0.3">
      <c r="A52" s="1"/>
      <c r="B52" s="1"/>
    </row>
    <row r="53" spans="1:10" x14ac:dyDescent="0.3">
      <c r="A53" s="1"/>
      <c r="B53" s="1"/>
      <c r="F53" s="32"/>
      <c r="G53" s="32"/>
      <c r="H53" s="32"/>
      <c r="I53" s="32"/>
      <c r="J53" s="10"/>
    </row>
    <row r="54" spans="1:10" x14ac:dyDescent="0.3">
      <c r="A54" s="1"/>
      <c r="B54" s="1"/>
      <c r="F54" s="30"/>
      <c r="G54" s="1"/>
      <c r="H54" s="30"/>
      <c r="I54" s="30"/>
    </row>
    <row r="55" spans="1:10" x14ac:dyDescent="0.3">
      <c r="A55" s="1"/>
      <c r="B55" s="1"/>
      <c r="F55" s="30"/>
      <c r="G55" s="30"/>
      <c r="H55" s="33"/>
      <c r="I55" s="33"/>
    </row>
    <row r="56" spans="1:10" x14ac:dyDescent="0.3">
      <c r="A56" s="1"/>
      <c r="B56" s="1"/>
      <c r="F56" s="30"/>
      <c r="G56" s="30"/>
      <c r="H56" s="30"/>
      <c r="I56" s="30"/>
    </row>
    <row r="57" spans="1:10" x14ac:dyDescent="0.3">
      <c r="A57" s="1"/>
      <c r="B57" s="1"/>
      <c r="F57" s="30"/>
      <c r="G57" s="34"/>
      <c r="H57" s="30"/>
      <c r="I57" s="30"/>
    </row>
    <row r="58" spans="1:10" x14ac:dyDescent="0.3">
      <c r="A58" s="1"/>
      <c r="B58" s="1"/>
      <c r="F58" s="30"/>
      <c r="G58" s="30"/>
      <c r="H58" s="30"/>
      <c r="I58" s="30"/>
    </row>
    <row r="59" spans="1:10" x14ac:dyDescent="0.3">
      <c r="A59" s="1"/>
      <c r="B59" s="1"/>
      <c r="F59" s="30"/>
      <c r="G59" s="30"/>
      <c r="H59" s="30"/>
      <c r="I59" s="30"/>
    </row>
    <row r="60" spans="1:10" x14ac:dyDescent="0.3">
      <c r="A60" s="1"/>
      <c r="B60" s="1"/>
      <c r="F60" s="30"/>
      <c r="G60" s="30"/>
      <c r="H60" s="30"/>
      <c r="I60" s="30"/>
    </row>
    <row r="61" spans="1:10" x14ac:dyDescent="0.3">
      <c r="A61" s="1"/>
      <c r="B61" s="1"/>
      <c r="F61" s="30"/>
      <c r="G61" s="30"/>
      <c r="H61" s="30"/>
      <c r="I61" s="30"/>
    </row>
    <row r="62" spans="1:10" x14ac:dyDescent="0.3">
      <c r="A62" s="1"/>
      <c r="B62" s="1"/>
      <c r="F62" s="30"/>
      <c r="G62" s="30"/>
      <c r="H62" s="30"/>
      <c r="I62" s="30"/>
    </row>
    <row r="63" spans="1:10" x14ac:dyDescent="0.3">
      <c r="A63" s="1"/>
      <c r="B63" s="1"/>
      <c r="F63" s="30"/>
      <c r="G63" s="30"/>
      <c r="H63" s="30"/>
      <c r="I63" s="30"/>
    </row>
    <row r="64" spans="1:10" x14ac:dyDescent="0.3">
      <c r="A64" s="1"/>
      <c r="B64" s="1"/>
    </row>
    <row r="65" spans="1:6" x14ac:dyDescent="0.3">
      <c r="A65" s="1"/>
      <c r="B65" s="1"/>
    </row>
    <row r="66" spans="1:6" x14ac:dyDescent="0.3">
      <c r="A66" s="1"/>
      <c r="B66" s="1"/>
    </row>
    <row r="67" spans="1:6" x14ac:dyDescent="0.3">
      <c r="A67" s="1"/>
      <c r="B67" s="1"/>
    </row>
    <row r="68" spans="1:6" x14ac:dyDescent="0.3">
      <c r="A68" s="1"/>
      <c r="B68" s="1"/>
    </row>
    <row r="69" spans="1:6" x14ac:dyDescent="0.3">
      <c r="A69" s="1"/>
      <c r="B69" s="1"/>
      <c r="F69" s="35"/>
    </row>
    <row r="70" spans="1:6" x14ac:dyDescent="0.3">
      <c r="A70" s="1"/>
      <c r="B70" s="1"/>
      <c r="F70" s="35"/>
    </row>
    <row r="71" spans="1:6" x14ac:dyDescent="0.3">
      <c r="A71" s="1"/>
      <c r="B71" s="1"/>
      <c r="F71" s="35"/>
    </row>
    <row r="72" spans="1:6" x14ac:dyDescent="0.3">
      <c r="A72" s="1"/>
      <c r="B72" s="1"/>
      <c r="F72" s="35"/>
    </row>
    <row r="73" spans="1:6" x14ac:dyDescent="0.3">
      <c r="A73" s="1"/>
      <c r="B73" s="1"/>
      <c r="F73" s="35"/>
    </row>
    <row r="74" spans="1:6" x14ac:dyDescent="0.3">
      <c r="A74" s="1"/>
      <c r="B74" s="1"/>
      <c r="F74" s="35"/>
    </row>
    <row r="75" spans="1:6" x14ac:dyDescent="0.3">
      <c r="A75" s="1"/>
      <c r="B75" s="1"/>
      <c r="F75" s="35"/>
    </row>
    <row r="76" spans="1:6" x14ac:dyDescent="0.3">
      <c r="A76" s="1"/>
      <c r="B76" s="1"/>
      <c r="F76" s="35"/>
    </row>
    <row r="77" spans="1:6" x14ac:dyDescent="0.3">
      <c r="A77" s="1"/>
      <c r="B77" s="1"/>
      <c r="F77" s="35"/>
    </row>
    <row r="78" spans="1:6" x14ac:dyDescent="0.3">
      <c r="A78" s="1"/>
      <c r="B78" s="1"/>
      <c r="F78" s="35"/>
    </row>
    <row r="79" spans="1:6" x14ac:dyDescent="0.3">
      <c r="A79" s="1"/>
      <c r="B79" s="1"/>
    </row>
    <row r="80" spans="1:6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  <row r="169" spans="1:2" x14ac:dyDescent="0.3">
      <c r="A169" s="1"/>
      <c r="B169" s="1"/>
    </row>
  </sheetData>
  <mergeCells count="2">
    <mergeCell ref="B16:C16"/>
    <mergeCell ref="B21:C2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970BC-2021-4420-A10A-924FDE9FB362}">
  <dimension ref="E39:H39"/>
  <sheetViews>
    <sheetView workbookViewId="0">
      <selection activeCell="H40" sqref="H40"/>
    </sheetView>
  </sheetViews>
  <sheetFormatPr defaultRowHeight="15" x14ac:dyDescent="0.25"/>
  <sheetData>
    <row r="39" spans="5:8" x14ac:dyDescent="0.25">
      <c r="E39">
        <v>2500000</v>
      </c>
      <c r="F39">
        <v>1500</v>
      </c>
      <c r="G39">
        <f>E39/F39</f>
        <v>1666.6666666666667</v>
      </c>
      <c r="H39">
        <f>G39/10.764</f>
        <v>154.83711135885051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FC294-D4CD-4D7E-AC3A-C812736102DE}">
  <dimension ref="A1:B6"/>
  <sheetViews>
    <sheetView workbookViewId="0">
      <selection sqref="A1:B6"/>
    </sheetView>
  </sheetViews>
  <sheetFormatPr defaultRowHeight="15" x14ac:dyDescent="0.25"/>
  <sheetData>
    <row r="1" spans="1:2" ht="27" x14ac:dyDescent="0.25">
      <c r="A1" s="57" t="s">
        <v>43</v>
      </c>
      <c r="B1" s="58">
        <v>687.01</v>
      </c>
    </row>
    <row r="2" spans="1:2" ht="27" x14ac:dyDescent="0.25">
      <c r="A2" s="57" t="s">
        <v>44</v>
      </c>
      <c r="B2" s="58">
        <v>347.44</v>
      </c>
    </row>
    <row r="3" spans="1:2" x14ac:dyDescent="0.25">
      <c r="A3" s="57" t="s">
        <v>45</v>
      </c>
      <c r="B3" s="58">
        <v>93.87</v>
      </c>
    </row>
    <row r="4" spans="1:2" x14ac:dyDescent="0.25">
      <c r="A4" s="57" t="s">
        <v>46</v>
      </c>
      <c r="B4" s="58">
        <v>43.81</v>
      </c>
    </row>
    <row r="5" spans="1:2" ht="27" x14ac:dyDescent="0.25">
      <c r="A5" s="57" t="s">
        <v>47</v>
      </c>
      <c r="B5" s="58">
        <v>7.56</v>
      </c>
    </row>
    <row r="6" spans="1:2" ht="27" x14ac:dyDescent="0.25">
      <c r="A6" s="57" t="s">
        <v>48</v>
      </c>
      <c r="B6" s="58">
        <v>15.45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SBI - Previous Valuation</vt:lpstr>
      <vt:lpstr>SBI - Current Valuation</vt:lpstr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2024-12-05T15:35:59Z</dcterms:modified>
</cp:coreProperties>
</file>