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SMECCC Bhayandar\TINA MANGALCHAND THAKUR\"/>
    </mc:Choice>
  </mc:AlternateContent>
  <xr:revisionPtr revIDLastSave="0" documentId="13_ncr:1_{1B4DB5D4-789C-45E1-958A-4F74D1C081A8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C4" i="25" l="1"/>
  <c r="D2" i="25"/>
  <c r="B5" i="4"/>
  <c r="C5" i="4" s="1"/>
  <c r="D5" i="4" s="1"/>
  <c r="F34" i="23"/>
  <c r="F33" i="23"/>
  <c r="F32" i="23"/>
  <c r="C3" i="4"/>
  <c r="D3" i="4" s="1"/>
  <c r="C4" i="4"/>
  <c r="D4" i="4" s="1"/>
  <c r="C6" i="4"/>
  <c r="D6" i="4" s="1"/>
  <c r="C7" i="4"/>
  <c r="D7" i="4" s="1"/>
  <c r="D2" i="4"/>
  <c r="C2" i="4"/>
  <c r="S3" i="4" l="1"/>
  <c r="S5" i="4"/>
  <c r="S6" i="4"/>
  <c r="S7" i="4"/>
  <c r="S8" i="4"/>
  <c r="S9" i="4"/>
  <c r="O3" i="4"/>
  <c r="P3" i="4"/>
  <c r="O4" i="4"/>
  <c r="P4" i="4" s="1"/>
  <c r="S4" i="4" s="1"/>
  <c r="O5" i="4"/>
  <c r="P5" i="4"/>
  <c r="O6" i="4"/>
  <c r="P6" i="4"/>
  <c r="O7" i="4"/>
  <c r="P7" i="4"/>
  <c r="O8" i="4"/>
  <c r="P8" i="4"/>
  <c r="S2" i="4"/>
  <c r="R2" i="4"/>
  <c r="I7" i="23"/>
  <c r="O2" i="4"/>
  <c r="I5" i="23"/>
  <c r="I4" i="23"/>
  <c r="I34" i="23"/>
  <c r="F18" i="23" l="1"/>
  <c r="G3" i="4"/>
  <c r="G2" i="4"/>
  <c r="P9" i="4"/>
  <c r="C14" i="4"/>
  <c r="P2" i="4"/>
  <c r="I3" i="23" l="1"/>
  <c r="R4" i="4"/>
  <c r="R5" i="4"/>
  <c r="R6" i="4"/>
  <c r="C24" i="23" l="1"/>
  <c r="D23" i="23"/>
  <c r="C23" i="23" s="1"/>
  <c r="C17" i="4" l="1"/>
  <c r="G26" i="4"/>
  <c r="G34" i="4" s="1"/>
  <c r="R9" i="4"/>
  <c r="R8" i="4"/>
  <c r="R7" i="4"/>
  <c r="R3" i="4" l="1"/>
  <c r="C14" i="23"/>
  <c r="C3" i="23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G31" i="4"/>
  <c r="G32" i="4" s="1"/>
  <c r="C15" i="4"/>
  <c r="D15" i="4" s="1"/>
  <c r="D14" i="4"/>
  <c r="H32" i="4" l="1"/>
  <c r="I31" i="4"/>
  <c r="G35" i="4"/>
  <c r="H4" i="4"/>
  <c r="H11" i="4"/>
  <c r="H15" i="4"/>
  <c r="H6" i="4"/>
  <c r="H9" i="4"/>
  <c r="H13" i="4"/>
  <c r="H5" i="4"/>
  <c r="H8" i="4"/>
  <c r="H7" i="4"/>
  <c r="H10" i="4"/>
  <c r="H14" i="4"/>
  <c r="F2" i="4"/>
  <c r="F3" i="4"/>
  <c r="F4" i="4"/>
  <c r="F5" i="4"/>
  <c r="F6" i="4"/>
  <c r="F7" i="4"/>
  <c r="F8" i="4"/>
  <c r="F9" i="4"/>
  <c r="F10" i="4"/>
  <c r="F11" i="4"/>
  <c r="F12" i="4"/>
  <c r="F13" i="4"/>
  <c r="F14" i="4"/>
  <c r="F15" i="4"/>
  <c r="G5" i="4"/>
  <c r="G6" i="4"/>
  <c r="G7" i="4"/>
  <c r="G8" i="4"/>
  <c r="G9" i="4"/>
  <c r="G10" i="4"/>
  <c r="G11" i="4"/>
  <c r="G13" i="4"/>
  <c r="G14" i="4"/>
  <c r="G15" i="4"/>
  <c r="G4" i="4"/>
  <c r="G36" i="4" l="1"/>
  <c r="I28" i="4"/>
  <c r="H34" i="4"/>
  <c r="C84" i="23" l="1"/>
  <c r="C8" i="23"/>
  <c r="C6" i="23"/>
  <c r="C10" i="23" l="1"/>
  <c r="C11" i="23" s="1"/>
  <c r="C12" i="23" s="1"/>
  <c r="C13" i="23" s="1"/>
  <c r="C16" i="23" l="1"/>
  <c r="C19" i="23" s="1"/>
  <c r="C21" i="23" l="1"/>
  <c r="C20" i="23"/>
  <c r="C25" i="23"/>
  <c r="J19" i="4"/>
  <c r="I19" i="4"/>
  <c r="E19" i="4"/>
  <c r="J18" i="4"/>
  <c r="I18" i="4"/>
  <c r="E18" i="4"/>
  <c r="H33" i="23" l="1"/>
  <c r="C19" i="4" l="1"/>
  <c r="G19" i="4" s="1"/>
  <c r="F19" i="4"/>
  <c r="C18" i="4"/>
  <c r="G18" i="4" s="1"/>
  <c r="F18" i="4"/>
  <c r="G17" i="4"/>
  <c r="F17" i="4"/>
  <c r="C16" i="4"/>
  <c r="G16" i="4" s="1"/>
  <c r="F16" i="4"/>
  <c r="D19" i="4"/>
  <c r="H19" i="4" s="1"/>
  <c r="D16" i="4" l="1"/>
  <c r="H16" i="4" s="1"/>
  <c r="D17" i="4"/>
  <c r="H17" i="4" s="1"/>
  <c r="D18" i="4"/>
  <c r="H18" i="4" s="1"/>
  <c r="G12" i="4" l="1"/>
  <c r="H12" i="4"/>
</calcChain>
</file>

<file path=xl/sharedStrings.xml><?xml version="1.0" encoding="utf-8"?>
<sst xmlns="http://schemas.openxmlformats.org/spreadsheetml/2006/main" count="112" uniqueCount="89">
  <si>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</si>
  <si>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</si>
  <si>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</si>
  <si>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</si>
  <si>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</si>
  <si>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</si>
  <si>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</si>
  <si>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</si>
  <si>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</si>
  <si>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</si>
  <si>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</si>
  <si>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</si>
  <si>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</si>
  <si>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</si>
  <si>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</si>
  <si>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</si>
  <si>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</si>
  <si>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</si>
  <si>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</si>
  <si>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</si>
  <si>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</si>
  <si>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</si>
  <si>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</si>
  <si>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</si>
  <si>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</si>
  <si>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</si>
  <si>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</si>
  <si>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</si>
  <si>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</si>
  <si>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</si>
  <si>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</si>
  <si>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</si>
  <si>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</si>
  <si>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</si>
  <si>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</si>
  <si>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</si>
  <si>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</si>
  <si>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</si>
  <si>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</si>
  <si>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</si>
  <si>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</si>
  <si>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</si>
  <si>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</si>
  <si>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</si>
  <si>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</si>
  <si>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</si>
  <si>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</si>
  <si>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</si>
  <si>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</si>
  <si>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</si>
  <si>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</si>
  <si>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</si>
  <si>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</si>
  <si>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</si>
  <si>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</si>
  <si>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</si>
  <si>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</si>
  <si>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</si>
  <si>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</si>
  <si>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</si>
  <si>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</si>
  <si>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</si>
  <si>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</si>
  <si>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</si>
  <si>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</si>
  <si>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>CA</t>
  </si>
  <si>
    <t xml:space="preserve">Measurement </t>
  </si>
  <si>
    <t>FB</t>
  </si>
  <si>
    <t>Total CA</t>
  </si>
  <si>
    <t xml:space="preserve">CA </t>
  </si>
  <si>
    <t>BUA (10%)</t>
  </si>
  <si>
    <t>Built up area (10%)</t>
  </si>
  <si>
    <t xml:space="preserve">Measurment </t>
  </si>
  <si>
    <t>New</t>
  </si>
  <si>
    <t>SBI - RASMECCC Bhayandar  -TINA MANGALCHAND THAKUR - Residential Flat No. 1606, 16th Floor, Wing - A, Elanza, Village - Navghar, Bhaynder East, 401105, State - Maharashtra, India</t>
  </si>
  <si>
    <t>Lead No. 12618</t>
  </si>
  <si>
    <t>TINA M. THAKUR</t>
  </si>
  <si>
    <t>SBI (RASMECCC Bhayander)</t>
  </si>
  <si>
    <t>page</t>
  </si>
  <si>
    <t>Sq. M.</t>
  </si>
  <si>
    <t>Bal</t>
  </si>
  <si>
    <t>As per Agreement</t>
  </si>
  <si>
    <t>1 BHK (Plan)</t>
  </si>
  <si>
    <t>1 BHK</t>
  </si>
  <si>
    <t xml:space="preserve">BUA </t>
  </si>
  <si>
    <t xml:space="preserve">Agreement </t>
  </si>
  <si>
    <t>Date - 06.11.2024</t>
  </si>
  <si>
    <t>new</t>
  </si>
  <si>
    <t>16th Flr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</si>
</sst>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Source Sans Pro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4" fillId="2" borderId="0" xfId="0" applyFont="1" applyFill="1"/>
    <xf numFmtId="43" fontId="2" fillId="0" borderId="0" xfId="1" applyFont="1" applyFill="1" applyAlignment="1"/>
    <xf numFmtId="43" fontId="0" fillId="0" borderId="8" xfId="1" applyFont="1" applyFill="1" applyBorder="1"/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3" fontId="11" fillId="0" borderId="8" xfId="1" applyFont="1" applyFill="1" applyBorder="1"/>
    <xf numFmtId="43" fontId="0" fillId="2" borderId="0" xfId="1" applyFont="1" applyFill="1"/>
    <xf numFmtId="0" fontId="2" fillId="2" borderId="4" xfId="0" applyFont="1" applyFill="1" applyBorder="1"/>
    <xf numFmtId="4" fontId="1" fillId="0" borderId="0" xfId="0" applyNumberFormat="1" applyFont="1"/>
    <xf numFmtId="0" fontId="2" fillId="2" borderId="0" xfId="0" applyFont="1" applyFill="1" applyAlignment="1">
      <alignment vertical="center"/>
    </xf>
    <xf numFmtId="1" fontId="2" fillId="2" borderId="0" xfId="0" applyNumberFormat="1" applyFont="1" applyFill="1" applyAlignment="1">
      <alignment vertical="center"/>
    </xf>
    <xf numFmtId="3" fontId="0" fillId="2" borderId="0" xfId="0" applyNumberFormat="1" applyFill="1"/>
    <xf numFmtId="4" fontId="0" fillId="2" borderId="0" xfId="0" applyNumberFormat="1" applyFill="1"/>
    <xf numFmtId="3" fontId="0" fillId="3" borderId="0" xfId="0" applyNumberFormat="1" applyFill="1"/>
    <xf numFmtId="4" fontId="0" fillId="3" borderId="0" xfId="0" applyNumberFormat="1" applyFill="1"/>
    <xf numFmtId="0" fontId="0" fillId="3" borderId="0" xfId="0" applyFill="1"/>
    <xf numFmtId="43" fontId="2" fillId="2" borderId="0" xfId="1" applyFont="1" applyFill="1" applyAlignment="1">
      <alignment horizontal="center"/>
    </xf>
    <xf numFmtId="43" fontId="2" fillId="2" borderId="0" xfId="0" applyNumberFormat="1" applyFont="1" applyFill="1"/>
    <xf numFmtId="1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4" fontId="0" fillId="0" borderId="0" xfId="0" applyNumberFormat="1" applyFill="1"/>
    <xf numFmtId="0" fontId="2" fillId="0" borderId="0" xfId="0" applyFont="1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582297</xdr:colOff>
      <xdr:row>41</xdr:row>
      <xdr:rowOff>20143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03E86B-BFCA-E4E0-1B6E-C3923123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7830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CC9278-CC62-BA04-6418-579D6F20F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8545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239349</xdr:colOff>
      <xdr:row>88</xdr:row>
      <xdr:rowOff>48748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4A5304-511E-EE06-6054-73A40F79C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8773749" cy="8049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14</xdr:col>
      <xdr:colOff>201244</xdr:colOff>
      <xdr:row>132</xdr:row>
      <xdr:rowOff>153565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00ED44-7463-F3C2-9991-C5B190A1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54500"/>
          <a:ext cx="8735644" cy="8345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14</xdr:col>
      <xdr:colOff>229823</xdr:colOff>
      <xdr:row>175</xdr:row>
      <xdr:rowOff>134459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7FF2CAA-ED6E-E044-B0D3-96337763A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527000"/>
          <a:ext cx="8764223" cy="7944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11</xdr:col>
      <xdr:colOff>77147</xdr:colOff>
      <xdr:row>217</xdr:row>
      <xdr:rowOff>77248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FB70A4-3C71-2643-7886-FF04704FA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909000"/>
          <a:ext cx="6782747" cy="7506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458200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1CD5F6-D74F-FED0-F461-B69F41C5D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63800" cy="7573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8</xdr:col>
      <xdr:colOff>124523</xdr:colOff>
      <xdr:row>66</xdr:row>
      <xdr:rowOff>67322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4D6A1F-AE05-0348-9C96-07CCDEC6E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5001323" cy="4639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9</xdr:col>
      <xdr:colOff>447675</xdr:colOff>
      <xdr:row>102</xdr:row>
      <xdr:rowOff>77088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813776-5F52-9BEF-5564-5172DBA46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144500"/>
          <a:ext cx="5934075" cy="6363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15</xdr:col>
      <xdr:colOff>134645</xdr:colOff>
      <xdr:row>143</xdr:row>
      <xdr:rowOff>67721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FAED461-AED8-9E09-81B7-E419B6C84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812000"/>
          <a:ext cx="9278645" cy="74972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146</xdr:row>
      <xdr:rowOff>0</xdr:rowOff>
    </xdr:from>
    <xdr:to>
      <xdr:col>18</xdr:col>
      <xdr:colOff>76201</xdr:colOff>
      <xdr:row>154</xdr:row>
      <xdr:rowOff>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05ED5E-7465-E879-E851-545343B70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7813000"/>
          <a:ext cx="11049000" cy="15242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98300*0.1</f>
        <v>9830</v>
      </c>
      <c r="E2" s="40">
        <f>C3+D2</f>
        <v>108130</v>
      </c>
      <c r="G2" s="122" t="s">
        <v>45</v>
      </c>
      <c r="H2" s="123"/>
    </row>
    <row r="3" spans="2:17" ht="15.75" thickBot="1" x14ac:dyDescent="0.3">
      <c r="B3" s="32" t="s">
        <v>34</v>
      </c>
      <c r="C3" s="34">
        <v>98300</v>
      </c>
      <c r="D3" s="32"/>
      <c r="E3" s="32"/>
      <c r="F3" s="32"/>
      <c r="G3" s="47" t="s">
        <v>46</v>
      </c>
      <c r="H3" s="48" t="s">
        <v>47</v>
      </c>
      <c r="I3" s="49"/>
      <c r="K3" s="50" t="s">
        <v>48</v>
      </c>
      <c r="L3" s="51"/>
      <c r="N3" s="52" t="s">
        <v>49</v>
      </c>
      <c r="O3" s="53"/>
      <c r="P3" s="53"/>
      <c r="Q3" s="54"/>
    </row>
    <row r="4" spans="2:17" ht="27" thickBot="1" x14ac:dyDescent="0.3">
      <c r="B4" s="32" t="s">
        <v>35</v>
      </c>
      <c r="C4" s="34">
        <f>D2</f>
        <v>9830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25</v>
      </c>
      <c r="L4" s="59" t="s">
        <v>26</v>
      </c>
      <c r="N4" s="47" t="s">
        <v>46</v>
      </c>
      <c r="O4" s="60" t="s">
        <v>47</v>
      </c>
      <c r="P4" s="61"/>
    </row>
    <row r="5" spans="2:17" ht="15.75" thickBot="1" x14ac:dyDescent="0.3">
      <c r="B5" s="32" t="s">
        <v>50</v>
      </c>
      <c r="C5" s="35">
        <f>C3+C4</f>
        <v>108130</v>
      </c>
      <c r="D5" s="36" t="s">
        <v>36</v>
      </c>
      <c r="E5" s="37">
        <f>ROUND(C5/10.764,0)</f>
        <v>10046</v>
      </c>
      <c r="F5" s="36" t="s">
        <v>37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51</v>
      </c>
      <c r="C6" s="34">
        <v>29950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27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52</v>
      </c>
      <c r="C7" s="35">
        <f>C5-C6</f>
        <v>78180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29</v>
      </c>
      <c r="L7" s="62" t="s">
        <v>30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53</v>
      </c>
      <c r="C8" s="66">
        <v>0.03</v>
      </c>
      <c r="D8" s="67">
        <f>1-C8</f>
        <v>0.97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54</v>
      </c>
      <c r="D9" s="35">
        <f>ROUND(C7*D8,0)</f>
        <v>75835</v>
      </c>
      <c r="E9" s="32"/>
      <c r="F9" s="32"/>
      <c r="G9" s="55">
        <v>6</v>
      </c>
      <c r="H9" s="56">
        <v>6</v>
      </c>
      <c r="I9" s="57">
        <v>94</v>
      </c>
      <c r="K9" s="68" t="s">
        <v>28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55</v>
      </c>
      <c r="C10" s="35">
        <f>C6+D9</f>
        <v>105785</v>
      </c>
      <c r="D10" s="36" t="s">
        <v>36</v>
      </c>
      <c r="E10" s="37">
        <f>ROUND(C10/10.764,0)</f>
        <v>9828</v>
      </c>
      <c r="F10" s="36" t="s">
        <v>37</v>
      </c>
      <c r="G10" s="55">
        <v>7</v>
      </c>
      <c r="H10" s="56">
        <v>7</v>
      </c>
      <c r="I10" s="57">
        <v>93</v>
      </c>
      <c r="K10" s="70" t="s">
        <v>31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32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38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33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39</v>
      </c>
      <c r="C13" s="41" t="s">
        <v>87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40</v>
      </c>
      <c r="C14" s="41" t="e">
        <f>C12-C13</f>
        <v>#VALUE!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56</v>
      </c>
      <c r="C15" s="33" t="e">
        <f>60-C14</f>
        <v>#VALUE!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7" zoomScale="130" zoomScaleNormal="130" workbookViewId="0">
      <selection activeCell="G21" sqref="G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28" t="s">
        <v>88</v>
      </c>
      <c r="D2" s="12"/>
      <c r="F2" s="5"/>
      <c r="G2" s="101" t="s">
        <v>59</v>
      </c>
      <c r="H2" s="101" t="s">
        <v>79</v>
      </c>
      <c r="I2" s="101" t="s">
        <v>37</v>
      </c>
    </row>
    <row r="3" spans="1:13" ht="18.75" x14ac:dyDescent="0.3">
      <c r="A3" s="10" t="s">
        <v>9</v>
      </c>
      <c r="B3" s="13"/>
      <c r="C3" s="94">
        <f>C4+C5</f>
        <v>16800</v>
      </c>
      <c r="D3" s="14" t="s">
        <v>57</v>
      </c>
      <c r="F3" s="83" t="s">
        <v>81</v>
      </c>
      <c r="G3" s="101" t="s">
        <v>69</v>
      </c>
      <c r="H3" s="88">
        <v>39.54</v>
      </c>
      <c r="I3" s="85">
        <f>H3*10.764</f>
        <v>425.60855999999995</v>
      </c>
      <c r="K3" s="4" t="s">
        <v>72</v>
      </c>
      <c r="L3" t="s">
        <v>65</v>
      </c>
    </row>
    <row r="4" spans="1:13" ht="30" x14ac:dyDescent="0.25">
      <c r="A4" s="15" t="s">
        <v>10</v>
      </c>
      <c r="B4" s="13"/>
      <c r="C4" s="94">
        <v>2800</v>
      </c>
      <c r="D4" s="16"/>
      <c r="F4" s="100" t="s">
        <v>82</v>
      </c>
      <c r="G4" s="84" t="s">
        <v>80</v>
      </c>
      <c r="H4" s="112">
        <v>1.6</v>
      </c>
      <c r="I4" s="113">
        <f>H4*10.764</f>
        <v>17.2224</v>
      </c>
    </row>
    <row r="5" spans="1:13" x14ac:dyDescent="0.25">
      <c r="A5" s="10" t="s">
        <v>11</v>
      </c>
      <c r="B5" s="13"/>
      <c r="C5" s="94">
        <v>14000</v>
      </c>
      <c r="D5" s="16"/>
      <c r="F5" s="5"/>
      <c r="G5" s="84"/>
      <c r="H5" s="84" t="s">
        <v>68</v>
      </c>
      <c r="I5" s="85">
        <f>SUM(I3:I4)</f>
        <v>442.83095999999995</v>
      </c>
    </row>
    <row r="6" spans="1:13" x14ac:dyDescent="0.25">
      <c r="A6" s="10" t="s">
        <v>12</v>
      </c>
      <c r="B6" s="13"/>
      <c r="C6" s="94">
        <f>C4</f>
        <v>2800</v>
      </c>
      <c r="D6" s="16"/>
      <c r="F6" s="5"/>
      <c r="G6" s="84"/>
      <c r="H6" s="88"/>
      <c r="I6" s="85"/>
    </row>
    <row r="7" spans="1:13" x14ac:dyDescent="0.25">
      <c r="A7" s="10" t="s">
        <v>13</v>
      </c>
      <c r="B7" s="17"/>
      <c r="C7" s="4">
        <v>0</v>
      </c>
      <c r="D7" s="18"/>
      <c r="H7" s="84" t="s">
        <v>70</v>
      </c>
      <c r="I7" s="85">
        <f>I5*1.1</f>
        <v>487.11405600000001</v>
      </c>
    </row>
    <row r="8" spans="1:13" x14ac:dyDescent="0.25">
      <c r="A8" s="10" t="s">
        <v>14</v>
      </c>
      <c r="B8" s="17"/>
      <c r="C8" s="4">
        <f>C9-C7</f>
        <v>60</v>
      </c>
      <c r="D8" s="101" t="s">
        <v>73</v>
      </c>
      <c r="E8" s="101">
        <v>0</v>
      </c>
      <c r="L8" s="4"/>
      <c r="M8" s="4"/>
    </row>
    <row r="9" spans="1:13" x14ac:dyDescent="0.25">
      <c r="A9" s="10" t="s">
        <v>15</v>
      </c>
      <c r="B9" s="17"/>
      <c r="C9" s="4">
        <v>60</v>
      </c>
      <c r="D9" s="102"/>
      <c r="E9" s="101">
        <v>2024</v>
      </c>
    </row>
    <row r="10" spans="1:13" ht="30" x14ac:dyDescent="0.25">
      <c r="A10" s="15" t="s">
        <v>16</v>
      </c>
      <c r="B10" s="17"/>
      <c r="C10" s="4">
        <f>90*C7/C9</f>
        <v>0</v>
      </c>
      <c r="D10" s="4"/>
      <c r="E10" s="5"/>
      <c r="F10" s="82"/>
      <c r="G10" s="82"/>
    </row>
    <row r="11" spans="1:13" x14ac:dyDescent="0.25">
      <c r="A11" s="10"/>
      <c r="B11" s="19"/>
      <c r="C11" s="95">
        <f>C10%</f>
        <v>0</v>
      </c>
      <c r="D11" s="20"/>
      <c r="E11" s="3"/>
    </row>
    <row r="12" spans="1:13" x14ac:dyDescent="0.25">
      <c r="A12" s="10" t="s">
        <v>17</v>
      </c>
      <c r="B12" s="13"/>
      <c r="C12" s="94">
        <f>C6*C11</f>
        <v>0</v>
      </c>
      <c r="D12" s="16"/>
    </row>
    <row r="13" spans="1:13" x14ac:dyDescent="0.25">
      <c r="A13" s="10" t="s">
        <v>18</v>
      </c>
      <c r="B13" s="13"/>
      <c r="C13" s="94">
        <f>C6-C12</f>
        <v>2800</v>
      </c>
      <c r="D13" s="16"/>
      <c r="H13" s="4"/>
      <c r="M13" s="82"/>
    </row>
    <row r="14" spans="1:13" x14ac:dyDescent="0.25">
      <c r="A14" s="10" t="s">
        <v>11</v>
      </c>
      <c r="B14" s="13"/>
      <c r="C14" s="94">
        <f>C5</f>
        <v>14000</v>
      </c>
      <c r="D14" s="16"/>
      <c r="F14" s="82"/>
      <c r="G14" s="82"/>
      <c r="H14" s="4"/>
    </row>
    <row r="15" spans="1:13" x14ac:dyDescent="0.25">
      <c r="B15" s="13"/>
      <c r="C15" s="94"/>
      <c r="D15" s="16"/>
      <c r="H15" s="4"/>
    </row>
    <row r="16" spans="1:13" x14ac:dyDescent="0.25">
      <c r="A16" s="21" t="s">
        <v>19</v>
      </c>
      <c r="B16" s="22"/>
      <c r="C16" s="96">
        <f>C14+C13</f>
        <v>16800</v>
      </c>
      <c r="D16" s="14"/>
      <c r="E16" s="103"/>
      <c r="H16" s="82"/>
    </row>
    <row r="17" spans="1:9" x14ac:dyDescent="0.25">
      <c r="B17" s="17"/>
      <c r="C17" s="4"/>
      <c r="D17" s="18"/>
      <c r="H17" s="82"/>
    </row>
    <row r="18" spans="1:9" ht="16.5" x14ac:dyDescent="0.3">
      <c r="A18" s="110" t="s">
        <v>65</v>
      </c>
      <c r="B18" s="5"/>
      <c r="C18" s="97">
        <v>443</v>
      </c>
      <c r="D18" s="44"/>
      <c r="E18" s="45"/>
      <c r="F18">
        <f>11500000/C18</f>
        <v>25959.367945823928</v>
      </c>
    </row>
    <row r="19" spans="1:9" x14ac:dyDescent="0.25">
      <c r="A19" s="10"/>
      <c r="B19" s="4"/>
      <c r="C19" s="120">
        <f>C18*C16</f>
        <v>7442400</v>
      </c>
      <c r="D19" s="84" t="s">
        <v>42</v>
      </c>
      <c r="E19" s="23"/>
      <c r="H19" s="82"/>
    </row>
    <row r="20" spans="1:9" x14ac:dyDescent="0.25">
      <c r="A20" s="10"/>
      <c r="B20" s="40"/>
      <c r="C20" s="120">
        <f>C19*0.98</f>
        <v>7293552</v>
      </c>
      <c r="D20" s="84" t="s">
        <v>20</v>
      </c>
      <c r="E20" s="24"/>
      <c r="F20" s="6"/>
      <c r="H20" s="82"/>
    </row>
    <row r="21" spans="1:9" x14ac:dyDescent="0.25">
      <c r="A21" s="10"/>
      <c r="C21" s="120">
        <f>C19*0.8</f>
        <v>5953920</v>
      </c>
      <c r="D21" s="84" t="s">
        <v>21</v>
      </c>
      <c r="E21" s="24"/>
      <c r="F21" s="40"/>
    </row>
    <row r="22" spans="1:9" x14ac:dyDescent="0.25">
      <c r="A22" s="10"/>
      <c r="E22" s="40"/>
    </row>
    <row r="23" spans="1:9" x14ac:dyDescent="0.25">
      <c r="A23" s="25" t="s">
        <v>22</v>
      </c>
      <c r="B23" s="26"/>
      <c r="C23" s="98">
        <f>C4*D23</f>
        <v>1364440</v>
      </c>
      <c r="D23" s="27">
        <f>C18*1.1</f>
        <v>487.3</v>
      </c>
      <c r="E23" s="40"/>
    </row>
    <row r="24" spans="1:9" x14ac:dyDescent="0.25">
      <c r="A24" s="10" t="s">
        <v>23</v>
      </c>
      <c r="C24" s="93">
        <f>433.4*10438</f>
        <v>4523829.2</v>
      </c>
    </row>
    <row r="25" spans="1:9" x14ac:dyDescent="0.25">
      <c r="A25" s="28" t="s">
        <v>24</v>
      </c>
      <c r="B25" s="11"/>
      <c r="C25" s="40">
        <f>C19*0.025/12</f>
        <v>15505</v>
      </c>
      <c r="D25" s="24"/>
    </row>
    <row r="26" spans="1:9" x14ac:dyDescent="0.25">
      <c r="C26" s="40"/>
      <c r="D26" s="24"/>
      <c r="F26" s="84" t="s">
        <v>75</v>
      </c>
    </row>
    <row r="27" spans="1:9" x14ac:dyDescent="0.25">
      <c r="A27" s="5" t="s">
        <v>74</v>
      </c>
      <c r="B27" s="5"/>
      <c r="C27" s="99"/>
      <c r="D27" s="86"/>
    </row>
    <row r="28" spans="1:9" x14ac:dyDescent="0.25">
      <c r="D28" s="82"/>
    </row>
    <row r="29" spans="1:9" x14ac:dyDescent="0.25">
      <c r="A29" s="84" t="s">
        <v>85</v>
      </c>
      <c r="B29" s="119" t="s">
        <v>86</v>
      </c>
      <c r="D29"/>
      <c r="E29" s="11"/>
      <c r="F29" s="11"/>
      <c r="G29" s="3"/>
      <c r="H29" s="3"/>
    </row>
    <row r="30" spans="1:9" ht="18.75" x14ac:dyDescent="0.3">
      <c r="B30" s="119">
        <v>7147444</v>
      </c>
      <c r="D30"/>
      <c r="E30" s="124" t="s">
        <v>77</v>
      </c>
      <c r="F30" s="124"/>
      <c r="G30" s="3"/>
      <c r="H30" s="87"/>
      <c r="I30" s="40"/>
    </row>
    <row r="31" spans="1:9" ht="18.75" x14ac:dyDescent="0.3">
      <c r="C31" s="40"/>
      <c r="D31"/>
      <c r="E31" s="124" t="s">
        <v>76</v>
      </c>
      <c r="F31" s="124"/>
      <c r="G31" s="3"/>
      <c r="H31" s="3"/>
    </row>
    <row r="32" spans="1:9" ht="18.75" x14ac:dyDescent="0.3">
      <c r="D32"/>
      <c r="E32" s="108" t="s">
        <v>42</v>
      </c>
      <c r="F32" s="108">
        <f>C19</f>
        <v>7442400</v>
      </c>
      <c r="G32" s="3"/>
      <c r="H32" s="3"/>
    </row>
    <row r="33" spans="1:9" ht="18.75" x14ac:dyDescent="0.3">
      <c r="D33"/>
      <c r="E33" s="108" t="s">
        <v>20</v>
      </c>
      <c r="F33" s="108">
        <f>C20</f>
        <v>7293552</v>
      </c>
      <c r="G33" s="3"/>
      <c r="H33" s="87">
        <f>F32*80</f>
        <v>595392000</v>
      </c>
    </row>
    <row r="34" spans="1:9" ht="18.75" x14ac:dyDescent="0.3">
      <c r="D34"/>
      <c r="E34" s="108" t="s">
        <v>21</v>
      </c>
      <c r="F34" s="108">
        <f>C21</f>
        <v>5953920</v>
      </c>
      <c r="G34" s="3"/>
      <c r="H34" s="3"/>
      <c r="I34">
        <f>11554200</f>
        <v>11554200</v>
      </c>
    </row>
    <row r="35" spans="1:9" x14ac:dyDescent="0.25">
      <c r="D35"/>
      <c r="G35" s="3"/>
      <c r="H35" s="3"/>
    </row>
    <row r="36" spans="1:9" x14ac:dyDescent="0.25">
      <c r="D36"/>
      <c r="E36" s="3"/>
      <c r="F36" s="3"/>
      <c r="G36" s="3"/>
      <c r="H36" s="3"/>
    </row>
    <row r="37" spans="1:9" x14ac:dyDescent="0.25">
      <c r="D37"/>
      <c r="E37" s="3"/>
      <c r="F37" s="3"/>
      <c r="G37" s="3"/>
      <c r="H37" s="3"/>
    </row>
    <row r="38" spans="1:9" x14ac:dyDescent="0.25">
      <c r="D38"/>
      <c r="E38" s="3"/>
      <c r="F38" s="3"/>
      <c r="G38" s="3"/>
      <c r="H38" s="3"/>
    </row>
    <row r="39" spans="1:9" x14ac:dyDescent="0.25">
      <c r="D39"/>
    </row>
    <row r="40" spans="1:9" x14ac:dyDescent="0.25">
      <c r="D40"/>
    </row>
    <row r="46" spans="1:9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6"/>
  <sheetViews>
    <sheetView zoomScaleNormal="100" workbookViewId="0">
      <selection activeCell="Q2" sqref="Q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140625" customWidth="1"/>
    <col min="18" max="18" width="13.85546875" customWidth="1"/>
    <col min="19" max="19" width="19.2851562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4" s="1" customFormat="1" ht="60" x14ac:dyDescent="0.25">
      <c r="A1" s="1" t="s">
        <v>0</v>
      </c>
      <c r="B1" s="1" t="s">
        <v>4</v>
      </c>
      <c r="C1" s="1" t="s">
        <v>71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65</v>
      </c>
      <c r="P1" s="1" t="s">
        <v>70</v>
      </c>
      <c r="Q1" s="1" t="s">
        <v>1</v>
      </c>
      <c r="R1" s="1" t="s">
        <v>65</v>
      </c>
      <c r="S1" s="1" t="s">
        <v>84</v>
      </c>
    </row>
    <row r="2" spans="1:34" x14ac:dyDescent="0.25">
      <c r="B2">
        <v>493</v>
      </c>
      <c r="C2">
        <f>B2*1.1</f>
        <v>542.30000000000007</v>
      </c>
      <c r="D2" s="2">
        <f>C2*1.2</f>
        <v>650.7600000000001</v>
      </c>
      <c r="E2" s="2">
        <v>7400000</v>
      </c>
      <c r="F2" s="2">
        <f t="shared" ref="F2:F15" si="0">ROUND((E2/B2),0)</f>
        <v>15010</v>
      </c>
      <c r="G2" s="89">
        <f t="shared" ref="G2:G15" si="1">ROUND((E2/C2),0)</f>
        <v>13646</v>
      </c>
      <c r="H2">
        <f t="shared" ref="H2:H15" si="2">ROUND((E2/D2),0)</f>
        <v>11371</v>
      </c>
      <c r="I2">
        <v>8</v>
      </c>
      <c r="J2" s="5">
        <v>806</v>
      </c>
      <c r="K2" s="5"/>
      <c r="L2" s="5"/>
      <c r="M2" s="5"/>
      <c r="N2" s="5">
        <v>141.13</v>
      </c>
      <c r="O2" s="114">
        <f>N2*10.764</f>
        <v>1519.1233199999999</v>
      </c>
      <c r="P2" s="115">
        <f>O2*1.1</f>
        <v>1671.035652</v>
      </c>
      <c r="Q2" s="115">
        <v>22691000</v>
      </c>
      <c r="R2" s="115">
        <f t="shared" ref="R2:R9" si="3">Q2/O2</f>
        <v>14936.904529910054</v>
      </c>
      <c r="S2" s="115">
        <f>Q2/P2</f>
        <v>13579.004118100049</v>
      </c>
      <c r="Z2" s="42"/>
    </row>
    <row r="3" spans="1:34" x14ac:dyDescent="0.25">
      <c r="B3">
        <v>415</v>
      </c>
      <c r="C3">
        <f t="shared" ref="C3:C7" si="4">B3*1.1</f>
        <v>456.50000000000006</v>
      </c>
      <c r="D3" s="2">
        <f t="shared" ref="D3:D7" si="5">C3*1.2</f>
        <v>547.80000000000007</v>
      </c>
      <c r="E3" s="2">
        <v>7500000</v>
      </c>
      <c r="F3" s="2">
        <f t="shared" si="0"/>
        <v>18072</v>
      </c>
      <c r="G3" s="89">
        <f t="shared" si="1"/>
        <v>16429</v>
      </c>
      <c r="H3">
        <f t="shared" si="2"/>
        <v>13691</v>
      </c>
      <c r="I3" s="5">
        <v>10</v>
      </c>
      <c r="J3" s="5">
        <v>1013</v>
      </c>
      <c r="K3" s="5"/>
      <c r="L3" s="5"/>
      <c r="M3" s="5"/>
      <c r="N3" s="5">
        <v>37.549999999999997</v>
      </c>
      <c r="O3" s="114">
        <f t="shared" ref="O3:O8" si="6">N3*10.764</f>
        <v>404.18819999999994</v>
      </c>
      <c r="P3" s="115">
        <f t="shared" ref="P3:P8" si="7">O3*1.1</f>
        <v>444.60701999999998</v>
      </c>
      <c r="Q3" s="115">
        <v>6000000</v>
      </c>
      <c r="R3" s="115">
        <f t="shared" si="3"/>
        <v>14844.56993054226</v>
      </c>
      <c r="S3" s="115">
        <f t="shared" ref="S3:S9" si="8">Q3/P3</f>
        <v>13495.063573220235</v>
      </c>
      <c r="AD3" s="42"/>
    </row>
    <row r="4" spans="1:34" x14ac:dyDescent="0.25">
      <c r="B4" s="121">
        <v>450</v>
      </c>
      <c r="C4" s="5">
        <f t="shared" si="4"/>
        <v>495.00000000000006</v>
      </c>
      <c r="D4" s="115">
        <f t="shared" si="5"/>
        <v>594</v>
      </c>
      <c r="E4" s="115">
        <v>7500000</v>
      </c>
      <c r="F4" s="115">
        <f t="shared" si="0"/>
        <v>16667</v>
      </c>
      <c r="G4" s="109">
        <f t="shared" si="1"/>
        <v>15152</v>
      </c>
      <c r="H4">
        <f t="shared" si="2"/>
        <v>12626</v>
      </c>
      <c r="I4" s="5">
        <v>1</v>
      </c>
      <c r="J4" s="5">
        <v>104</v>
      </c>
      <c r="K4" s="5"/>
      <c r="L4" s="5"/>
      <c r="M4" s="5"/>
      <c r="N4" s="5">
        <v>37.549999999999997</v>
      </c>
      <c r="O4" s="114">
        <f t="shared" si="6"/>
        <v>404.18819999999994</v>
      </c>
      <c r="P4" s="115">
        <f t="shared" si="7"/>
        <v>444.60701999999998</v>
      </c>
      <c r="Q4" s="115">
        <v>8500000</v>
      </c>
      <c r="R4" s="115">
        <f t="shared" si="3"/>
        <v>21029.807401601534</v>
      </c>
      <c r="S4" s="117">
        <f t="shared" si="8"/>
        <v>19118.006728728666</v>
      </c>
    </row>
    <row r="5" spans="1:34" x14ac:dyDescent="0.25">
      <c r="B5" s="121">
        <f>41.91*10.764</f>
        <v>451.11923999999993</v>
      </c>
      <c r="C5" s="5">
        <f t="shared" si="4"/>
        <v>496.23116399999998</v>
      </c>
      <c r="D5" s="115">
        <f t="shared" si="5"/>
        <v>595.47739679999995</v>
      </c>
      <c r="E5" s="115">
        <v>8000000</v>
      </c>
      <c r="F5" s="115">
        <f t="shared" si="0"/>
        <v>17734</v>
      </c>
      <c r="G5" s="109">
        <f t="shared" si="1"/>
        <v>16122</v>
      </c>
      <c r="H5">
        <f t="shared" si="2"/>
        <v>13435</v>
      </c>
      <c r="O5" s="116">
        <f t="shared" si="6"/>
        <v>0</v>
      </c>
      <c r="P5" s="117">
        <f t="shared" si="7"/>
        <v>0</v>
      </c>
      <c r="Q5" s="117"/>
      <c r="R5" s="2" t="e">
        <f t="shared" si="3"/>
        <v>#DIV/0!</v>
      </c>
      <c r="S5" s="117" t="e">
        <f t="shared" si="8"/>
        <v>#DIV/0!</v>
      </c>
    </row>
    <row r="6" spans="1:34" x14ac:dyDescent="0.25">
      <c r="B6" s="126">
        <v>440</v>
      </c>
      <c r="C6" s="126">
        <f t="shared" si="4"/>
        <v>484.00000000000006</v>
      </c>
      <c r="D6" s="127">
        <f t="shared" si="5"/>
        <v>580.80000000000007</v>
      </c>
      <c r="E6" s="127">
        <v>8240000</v>
      </c>
      <c r="F6" s="127">
        <f t="shared" si="0"/>
        <v>18727</v>
      </c>
      <c r="G6" s="89">
        <f t="shared" si="1"/>
        <v>17025</v>
      </c>
      <c r="H6">
        <f t="shared" si="2"/>
        <v>14187</v>
      </c>
      <c r="O6" s="116">
        <f t="shared" si="6"/>
        <v>0</v>
      </c>
      <c r="P6" s="117">
        <f t="shared" si="7"/>
        <v>0</v>
      </c>
      <c r="Q6" s="117"/>
      <c r="R6" s="2" t="e">
        <f t="shared" si="3"/>
        <v>#DIV/0!</v>
      </c>
      <c r="S6" s="117" t="e">
        <f t="shared" si="8"/>
        <v>#DIV/0!</v>
      </c>
      <c r="AH6" t="s">
        <v>43</v>
      </c>
    </row>
    <row r="7" spans="1:34" x14ac:dyDescent="0.25">
      <c r="C7">
        <f t="shared" si="4"/>
        <v>0</v>
      </c>
      <c r="D7" s="2">
        <f t="shared" si="5"/>
        <v>0</v>
      </c>
      <c r="E7" s="2"/>
      <c r="F7" s="2" t="e">
        <f t="shared" si="0"/>
        <v>#DIV/0!</v>
      </c>
      <c r="G7" t="e">
        <f t="shared" si="1"/>
        <v>#DIV/0!</v>
      </c>
      <c r="H7" t="e">
        <f t="shared" si="2"/>
        <v>#DIV/0!</v>
      </c>
      <c r="O7" s="116">
        <f t="shared" si="6"/>
        <v>0</v>
      </c>
      <c r="P7" s="117">
        <f t="shared" si="7"/>
        <v>0</v>
      </c>
      <c r="Q7" s="117"/>
      <c r="R7" s="2" t="e">
        <f t="shared" si="3"/>
        <v>#DIV/0!</v>
      </c>
      <c r="S7" s="117" t="e">
        <f t="shared" si="8"/>
        <v>#DIV/0!</v>
      </c>
    </row>
    <row r="8" spans="1:34" x14ac:dyDescent="0.25">
      <c r="D8" s="2"/>
      <c r="E8" s="2"/>
      <c r="F8" s="2" t="e">
        <f t="shared" si="0"/>
        <v>#DIV/0!</v>
      </c>
      <c r="G8" t="e">
        <f t="shared" si="1"/>
        <v>#DIV/0!</v>
      </c>
      <c r="H8" t="e">
        <f t="shared" si="2"/>
        <v>#DIV/0!</v>
      </c>
      <c r="O8" s="116">
        <f t="shared" si="6"/>
        <v>0</v>
      </c>
      <c r="P8" s="117">
        <f t="shared" si="7"/>
        <v>0</v>
      </c>
      <c r="Q8" s="117"/>
      <c r="R8" s="2" t="e">
        <f t="shared" si="3"/>
        <v>#DIV/0!</v>
      </c>
      <c r="S8" s="117" t="e">
        <f t="shared" si="8"/>
        <v>#DIV/0!</v>
      </c>
    </row>
    <row r="9" spans="1:34" x14ac:dyDescent="0.25">
      <c r="D9" s="2"/>
      <c r="E9" s="2"/>
      <c r="F9" s="2" t="e">
        <f t="shared" si="0"/>
        <v>#DIV/0!</v>
      </c>
      <c r="G9" t="e">
        <f t="shared" si="1"/>
        <v>#DIV/0!</v>
      </c>
      <c r="H9" t="e">
        <f t="shared" si="2"/>
        <v>#DIV/0!</v>
      </c>
      <c r="O9" s="117"/>
      <c r="P9" s="117">
        <f t="shared" ref="P9" si="9">O9*1.1</f>
        <v>0</v>
      </c>
      <c r="Q9" s="117"/>
      <c r="R9" s="2" t="e">
        <f t="shared" si="3"/>
        <v>#DIV/0!</v>
      </c>
      <c r="S9" s="117" t="e">
        <f t="shared" si="8"/>
        <v>#DIV/0!</v>
      </c>
    </row>
    <row r="10" spans="1:34" x14ac:dyDescent="0.25">
      <c r="D10" s="2"/>
      <c r="E10" s="2"/>
      <c r="F10" s="2" t="e">
        <f t="shared" si="0"/>
        <v>#DIV/0!</v>
      </c>
      <c r="G10" t="e">
        <f t="shared" si="1"/>
        <v>#DIV/0!</v>
      </c>
      <c r="H10" t="e">
        <f t="shared" si="2"/>
        <v>#DIV/0!</v>
      </c>
      <c r="O10" s="118"/>
      <c r="P10" s="118"/>
      <c r="Q10" s="117"/>
      <c r="R10" s="2"/>
      <c r="S10" s="118"/>
    </row>
    <row r="11" spans="1:34" ht="16.5" x14ac:dyDescent="0.3">
      <c r="D11" s="2"/>
      <c r="E11" s="2"/>
      <c r="F11" s="2" t="e">
        <f t="shared" si="0"/>
        <v>#DIV/0!</v>
      </c>
      <c r="G11" t="e">
        <f t="shared" si="1"/>
        <v>#DIV/0!</v>
      </c>
      <c r="H11" t="e">
        <f t="shared" si="2"/>
        <v>#DIV/0!</v>
      </c>
      <c r="O11" s="118"/>
      <c r="P11" s="118"/>
      <c r="Q11" s="117"/>
      <c r="R11" s="2"/>
      <c r="S11" s="118"/>
      <c r="U11" s="106"/>
      <c r="V11" s="31"/>
      <c r="W11" s="31"/>
      <c r="X11" s="31"/>
      <c r="Y11" s="31"/>
      <c r="Z11" s="31"/>
      <c r="AA11" s="31"/>
      <c r="AB11" s="31"/>
    </row>
    <row r="12" spans="1:34" ht="18.75" x14ac:dyDescent="0.25">
      <c r="D12" s="2"/>
      <c r="E12" s="2"/>
      <c r="F12" t="e">
        <f t="shared" si="0"/>
        <v>#DIV/0!</v>
      </c>
      <c r="G12" t="e">
        <f t="shared" si="1"/>
        <v>#DIV/0!</v>
      </c>
      <c r="H12" t="e">
        <f t="shared" si="2"/>
        <v>#DIV/0!</v>
      </c>
      <c r="O12" s="118"/>
      <c r="P12" s="118"/>
      <c r="Q12" s="117"/>
      <c r="R12" s="2"/>
      <c r="U12" s="107"/>
    </row>
    <row r="13" spans="1:34" x14ac:dyDescent="0.25">
      <c r="E13" s="2"/>
      <c r="F13" t="e">
        <f t="shared" si="0"/>
        <v>#DIV/0!</v>
      </c>
      <c r="G13" t="e">
        <f t="shared" si="1"/>
        <v>#DIV/0!</v>
      </c>
      <c r="H13" t="e">
        <f t="shared" si="2"/>
        <v>#DIV/0!</v>
      </c>
      <c r="Q13" s="2"/>
      <c r="R13" s="2"/>
    </row>
    <row r="14" spans="1:34" x14ac:dyDescent="0.25">
      <c r="C14">
        <f>B14*1.1</f>
        <v>0</v>
      </c>
      <c r="D14">
        <f t="shared" ref="D14:D19" si="10">C14*1.2</f>
        <v>0</v>
      </c>
      <c r="E14" s="2"/>
      <c r="F14" t="e">
        <f t="shared" si="0"/>
        <v>#DIV/0!</v>
      </c>
      <c r="G14" t="e">
        <f t="shared" si="1"/>
        <v>#DIV/0!</v>
      </c>
      <c r="H14" t="e">
        <f t="shared" si="2"/>
        <v>#DIV/0!</v>
      </c>
      <c r="O14" s="3"/>
      <c r="P14" s="3"/>
      <c r="Q14" s="111"/>
      <c r="R14" s="111"/>
      <c r="S14" s="3"/>
      <c r="T14" s="3"/>
      <c r="U14" s="3"/>
      <c r="V14" s="3"/>
      <c r="W14" s="3"/>
    </row>
    <row r="15" spans="1:34" x14ac:dyDescent="0.25">
      <c r="C15">
        <f>B15*1.2</f>
        <v>0</v>
      </c>
      <c r="D15">
        <f t="shared" si="10"/>
        <v>0</v>
      </c>
      <c r="E15" s="2"/>
      <c r="F15" t="e">
        <f t="shared" si="0"/>
        <v>#DIV/0!</v>
      </c>
      <c r="G15" t="e">
        <f t="shared" si="1"/>
        <v>#DIV/0!</v>
      </c>
      <c r="H15" t="e">
        <f t="shared" si="2"/>
        <v>#DIV/0!</v>
      </c>
      <c r="O15" s="3"/>
      <c r="P15" s="3"/>
      <c r="Q15" s="111"/>
      <c r="R15" s="111"/>
      <c r="S15" s="3"/>
      <c r="T15" s="3"/>
      <c r="U15" s="3"/>
      <c r="V15" s="3"/>
      <c r="W15" s="3"/>
    </row>
    <row r="16" spans="1:34" x14ac:dyDescent="0.25">
      <c r="C16">
        <f>B16*1.2</f>
        <v>0</v>
      </c>
      <c r="D16">
        <f t="shared" si="10"/>
        <v>0</v>
      </c>
      <c r="E16" s="2"/>
      <c r="F16" t="e">
        <f>ROUND((E16/B16),0)</f>
        <v>#DIV/0!</v>
      </c>
      <c r="G16" t="e">
        <f>ROUND((E16/C16),0)</f>
        <v>#DIV/0!</v>
      </c>
      <c r="H16" t="e">
        <f>ROUND((E16/D16),0)</f>
        <v>#DIV/0!</v>
      </c>
      <c r="O16" s="3"/>
      <c r="P16" s="3"/>
      <c r="Q16" s="111"/>
      <c r="R16" s="111"/>
      <c r="S16" s="3"/>
      <c r="T16" s="3"/>
      <c r="U16" s="3"/>
      <c r="V16" s="3"/>
      <c r="W16" s="3"/>
    </row>
    <row r="17" spans="1:18" x14ac:dyDescent="0.25">
      <c r="C17">
        <f>B17*1.2</f>
        <v>0</v>
      </c>
      <c r="D17">
        <f t="shared" si="10"/>
        <v>0</v>
      </c>
      <c r="E17" s="2"/>
      <c r="F17" t="e">
        <f>ROUND((E17/B17),0)</f>
        <v>#DIV/0!</v>
      </c>
      <c r="G17" t="e">
        <f>ROUND((E17/C17),0)</f>
        <v>#DIV/0!</v>
      </c>
      <c r="H17" t="e">
        <f>ROUND((E17/D17),0)</f>
        <v>#DIV/0!</v>
      </c>
      <c r="Q17" s="2"/>
      <c r="R17" s="2"/>
    </row>
    <row r="18" spans="1:18" x14ac:dyDescent="0.25">
      <c r="C18">
        <f>B18*1.2</f>
        <v>0</v>
      </c>
      <c r="D18">
        <f t="shared" si="10"/>
        <v>0</v>
      </c>
      <c r="E18" s="2">
        <f>Q18</f>
        <v>0</v>
      </c>
      <c r="F18" t="e">
        <f>ROUND((E18/B18),0)</f>
        <v>#DIV/0!</v>
      </c>
      <c r="G18" t="e">
        <f>ROUND((E18/C18),0)</f>
        <v>#DIV/0!</v>
      </c>
      <c r="H18" t="e">
        <f>ROUND((E18/D18),0)</f>
        <v>#DIV/0!</v>
      </c>
      <c r="I18">
        <f>S18</f>
        <v>0</v>
      </c>
      <c r="J18">
        <f>T18</f>
        <v>0</v>
      </c>
      <c r="Q18" s="2"/>
      <c r="R18" s="2"/>
    </row>
    <row r="19" spans="1:18" x14ac:dyDescent="0.25">
      <c r="C19">
        <f>B19*1.2</f>
        <v>0</v>
      </c>
      <c r="D19">
        <f t="shared" si="10"/>
        <v>0</v>
      </c>
      <c r="E19" s="2">
        <f>Q19</f>
        <v>0</v>
      </c>
      <c r="F19" t="e">
        <f>ROUND((E19/B19),0)</f>
        <v>#DIV/0!</v>
      </c>
      <c r="G19" t="e">
        <f>ROUND((E19/C19),0)</f>
        <v>#DIV/0!</v>
      </c>
      <c r="H19" t="e">
        <f>ROUND((E19/D19),0)</f>
        <v>#DIV/0!</v>
      </c>
      <c r="I19">
        <f>S19</f>
        <v>0</v>
      </c>
      <c r="J19">
        <f>T19</f>
        <v>0</v>
      </c>
      <c r="Q19" s="2"/>
      <c r="R19" s="2"/>
    </row>
    <row r="20" spans="1:18" s="6" customFormat="1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8" s="6" customFormat="1" ht="16.5" x14ac:dyDescent="0.3">
      <c r="A21" s="89"/>
      <c r="B21" s="89"/>
      <c r="C21" s="89"/>
      <c r="D21" s="89"/>
      <c r="E21" s="89"/>
      <c r="F21" s="31"/>
      <c r="G21" s="89"/>
      <c r="H21" s="89"/>
      <c r="I21" s="89"/>
      <c r="J21" s="89"/>
      <c r="K21" s="89"/>
      <c r="L21" s="89"/>
      <c r="M21" s="89"/>
    </row>
    <row r="22" spans="1:18" s="6" customFormat="1" x14ac:dyDescent="0.25">
      <c r="A22" s="89"/>
      <c r="B22" s="89"/>
      <c r="C22" s="89"/>
      <c r="D22" s="89"/>
      <c r="E22" s="89"/>
      <c r="F22" s="104" t="s">
        <v>66</v>
      </c>
      <c r="G22" s="89"/>
      <c r="H22" s="89"/>
      <c r="I22" s="89"/>
      <c r="J22" s="89"/>
      <c r="K22" s="89"/>
      <c r="L22" s="89"/>
      <c r="M22" s="89"/>
    </row>
    <row r="23" spans="1:18" s="6" customFormat="1" x14ac:dyDescent="0.25">
      <c r="B23" s="89"/>
      <c r="C23" s="109"/>
      <c r="D23" s="109"/>
      <c r="E23" s="109"/>
      <c r="F23" s="105" t="s">
        <v>65</v>
      </c>
      <c r="G23" s="105">
        <v>394</v>
      </c>
      <c r="H23" s="89"/>
      <c r="I23" s="89">
        <f>G23*9500</f>
        <v>3743000</v>
      </c>
      <c r="J23" s="89"/>
      <c r="K23" s="89"/>
      <c r="L23" s="89"/>
      <c r="M23" s="89"/>
    </row>
    <row r="24" spans="1:18" s="6" customFormat="1" x14ac:dyDescent="0.25">
      <c r="B24" s="90"/>
      <c r="C24" s="90" t="s">
        <v>1</v>
      </c>
      <c r="D24" s="90">
        <v>7100000</v>
      </c>
      <c r="E24" s="90"/>
      <c r="F24" s="91" t="s">
        <v>62</v>
      </c>
      <c r="G24" s="91">
        <v>0</v>
      </c>
      <c r="H24" s="90"/>
      <c r="I24" s="90"/>
      <c r="J24" s="90"/>
      <c r="K24" s="90"/>
      <c r="L24" s="90"/>
      <c r="M24" s="90"/>
    </row>
    <row r="25" spans="1:18" s="6" customFormat="1" x14ac:dyDescent="0.25">
      <c r="B25" s="90"/>
      <c r="C25" s="90"/>
      <c r="D25" s="90"/>
      <c r="E25" s="90"/>
      <c r="F25" s="91" t="s">
        <v>67</v>
      </c>
      <c r="G25" s="91">
        <v>0</v>
      </c>
      <c r="H25" s="90"/>
      <c r="I25" s="90"/>
      <c r="J25" s="90"/>
      <c r="K25" s="90"/>
      <c r="L25" s="90"/>
      <c r="M25" s="90"/>
    </row>
    <row r="26" spans="1:18" s="6" customFormat="1" x14ac:dyDescent="0.25">
      <c r="B26" s="90"/>
      <c r="C26" s="90"/>
      <c r="D26" s="90"/>
      <c r="E26" s="90"/>
      <c r="F26" s="92" t="s">
        <v>68</v>
      </c>
      <c r="G26" s="92">
        <f>G23+G24+G25</f>
        <v>394</v>
      </c>
      <c r="H26" s="90"/>
      <c r="I26" s="90"/>
      <c r="J26" s="90"/>
      <c r="K26" s="90"/>
      <c r="L26" s="90"/>
      <c r="M26" s="90"/>
    </row>
    <row r="27" spans="1:18" s="6" customFormat="1" x14ac:dyDescent="0.25">
      <c r="B27" s="90"/>
      <c r="C27" s="90"/>
      <c r="D27" s="90"/>
      <c r="E27" s="90"/>
      <c r="F27" s="91"/>
      <c r="G27" s="91"/>
      <c r="H27" s="90"/>
      <c r="I27" s="90"/>
      <c r="J27" s="90"/>
      <c r="K27" s="90"/>
      <c r="L27" s="90"/>
      <c r="M27" s="90"/>
    </row>
    <row r="28" spans="1:18" s="6" customFormat="1" x14ac:dyDescent="0.25">
      <c r="B28" s="90"/>
      <c r="C28" s="90"/>
      <c r="D28" s="90"/>
      <c r="E28" s="90"/>
      <c r="F28" s="91" t="s">
        <v>61</v>
      </c>
      <c r="G28" s="91">
        <v>0</v>
      </c>
      <c r="H28" s="90"/>
      <c r="I28" s="90" t="e">
        <f>G34/G28</f>
        <v>#DIV/0!</v>
      </c>
      <c r="J28" s="90"/>
      <c r="K28" s="90"/>
      <c r="L28" s="90"/>
      <c r="M28" s="90"/>
    </row>
    <row r="29" spans="1:18" s="6" customFormat="1" x14ac:dyDescent="0.25">
      <c r="B29" s="90"/>
      <c r="C29" s="90"/>
      <c r="D29" s="90"/>
      <c r="E29" s="90"/>
      <c r="F29" s="91" t="s">
        <v>62</v>
      </c>
      <c r="G29" s="91">
        <v>0</v>
      </c>
      <c r="H29" s="90"/>
      <c r="I29" s="90"/>
      <c r="J29" s="90"/>
      <c r="K29" s="90"/>
      <c r="L29" s="90"/>
      <c r="M29" s="90"/>
    </row>
    <row r="30" spans="1:18" s="6" customFormat="1" x14ac:dyDescent="0.25">
      <c r="B30" s="90"/>
      <c r="C30" s="90"/>
      <c r="D30" s="90"/>
      <c r="E30" s="90"/>
      <c r="F30" s="91" t="s">
        <v>60</v>
      </c>
      <c r="G30" s="91">
        <v>0</v>
      </c>
      <c r="H30" s="90"/>
      <c r="I30" s="90"/>
      <c r="J30" s="90"/>
      <c r="K30" s="90"/>
      <c r="L30" s="90"/>
      <c r="M30" s="90"/>
    </row>
    <row r="31" spans="1:18" s="6" customFormat="1" x14ac:dyDescent="0.25">
      <c r="B31" s="90"/>
      <c r="C31" s="93"/>
      <c r="D31" s="93"/>
      <c r="E31" s="90"/>
      <c r="F31" s="92" t="s">
        <v>63</v>
      </c>
      <c r="G31" s="92">
        <f>SUM(G28:G30)</f>
        <v>0</v>
      </c>
      <c r="H31" s="90"/>
      <c r="I31" s="90" t="e">
        <f>I23/G31</f>
        <v>#DIV/0!</v>
      </c>
      <c r="J31" s="90"/>
      <c r="K31" s="90"/>
      <c r="L31" s="90"/>
      <c r="M31" s="90"/>
      <c r="O31" s="43"/>
      <c r="P31" s="43"/>
    </row>
    <row r="32" spans="1:18" s="6" customFormat="1" x14ac:dyDescent="0.25">
      <c r="B32" s="90"/>
      <c r="C32" s="93"/>
      <c r="D32" s="93"/>
      <c r="E32" s="90"/>
      <c r="F32" s="92" t="s">
        <v>64</v>
      </c>
      <c r="G32" s="91">
        <f>G31</f>
        <v>0</v>
      </c>
      <c r="H32" s="90" t="e">
        <f>G31/G32</f>
        <v>#DIV/0!</v>
      </c>
      <c r="I32" s="90" t="s">
        <v>44</v>
      </c>
      <c r="J32" s="90"/>
      <c r="K32" s="90"/>
      <c r="L32" s="90"/>
      <c r="M32" s="90"/>
    </row>
    <row r="33" spans="2:19" s="6" customFormat="1" x14ac:dyDescent="0.25">
      <c r="B33" s="90"/>
      <c r="C33" s="93"/>
      <c r="D33" s="93"/>
      <c r="E33" s="90"/>
      <c r="F33" s="91" t="s">
        <v>41</v>
      </c>
      <c r="G33" s="91">
        <v>10000</v>
      </c>
      <c r="H33" s="90"/>
      <c r="I33" s="90"/>
      <c r="J33" s="90"/>
      <c r="K33" s="90"/>
      <c r="L33" s="90"/>
      <c r="M33" s="90"/>
    </row>
    <row r="34" spans="2:19" s="6" customFormat="1" x14ac:dyDescent="0.25">
      <c r="B34" s="90"/>
      <c r="C34" s="93"/>
      <c r="D34" s="93"/>
      <c r="E34" s="90"/>
      <c r="F34" s="92" t="s">
        <v>42</v>
      </c>
      <c r="G34" s="92">
        <f>G26*G33</f>
        <v>3940000</v>
      </c>
      <c r="H34" s="90" t="e">
        <f>G34/D28</f>
        <v>#DIV/0!</v>
      </c>
      <c r="I34" s="90"/>
      <c r="J34" s="90"/>
      <c r="K34" s="90"/>
      <c r="L34" s="90"/>
      <c r="M34" s="90"/>
    </row>
    <row r="35" spans="2:19" s="6" customFormat="1" x14ac:dyDescent="0.25">
      <c r="B35" s="90"/>
      <c r="C35" s="93"/>
      <c r="D35" s="93"/>
      <c r="E35" s="90"/>
      <c r="F35" s="92" t="s">
        <v>20</v>
      </c>
      <c r="G35" s="92">
        <f>G34*90%</f>
        <v>3546000</v>
      </c>
      <c r="H35" s="90"/>
      <c r="I35" s="90"/>
      <c r="J35" s="90"/>
      <c r="K35" s="90"/>
      <c r="L35" s="90"/>
      <c r="M35" s="90"/>
    </row>
    <row r="36" spans="2:19" s="6" customFormat="1" x14ac:dyDescent="0.25">
      <c r="B36" s="90"/>
      <c r="C36" s="93"/>
      <c r="D36" s="93"/>
      <c r="E36" s="90"/>
      <c r="F36" s="92" t="s">
        <v>21</v>
      </c>
      <c r="G36" s="92">
        <f>G34*80%</f>
        <v>3152000</v>
      </c>
      <c r="H36" s="90"/>
      <c r="I36" s="90"/>
      <c r="J36" s="90"/>
      <c r="K36" s="90"/>
      <c r="L36" s="90"/>
      <c r="M36" s="90"/>
    </row>
    <row r="37" spans="2:19" x14ac:dyDescent="0.25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</row>
    <row r="38" spans="2:19" x14ac:dyDescent="0.25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6"/>
      <c r="O38" s="6"/>
      <c r="P38" s="6"/>
      <c r="Q38" s="6"/>
      <c r="R38" s="6"/>
      <c r="S38" s="6"/>
    </row>
    <row r="39" spans="2:19" x14ac:dyDescent="0.25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6"/>
      <c r="O39" s="6"/>
      <c r="P39" s="6"/>
      <c r="Q39" s="6"/>
      <c r="R39" s="6"/>
      <c r="S39" s="6"/>
    </row>
    <row r="40" spans="2:19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6"/>
      <c r="O40" s="6"/>
      <c r="P40" s="6"/>
      <c r="Q40" s="6"/>
      <c r="R40" s="6"/>
      <c r="S40" s="6"/>
    </row>
    <row r="41" spans="2:19" x14ac:dyDescent="0.25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6"/>
      <c r="O41" s="6"/>
      <c r="P41" s="6"/>
      <c r="Q41" s="6"/>
      <c r="R41" s="6"/>
      <c r="S41" s="6"/>
    </row>
    <row r="42" spans="2:19" x14ac:dyDescent="0.25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6"/>
      <c r="O42" s="6"/>
      <c r="P42" s="6"/>
      <c r="Q42" s="6"/>
      <c r="R42" s="6"/>
      <c r="S42" s="6"/>
    </row>
    <row r="43" spans="2:19" x14ac:dyDescent="0.25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6"/>
      <c r="O43" s="43"/>
      <c r="P43" s="43"/>
      <c r="Q43" s="6"/>
      <c r="R43" s="6"/>
      <c r="S43" s="6"/>
    </row>
    <row r="44" spans="2:19" x14ac:dyDescent="0.25"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6"/>
      <c r="O44" s="6"/>
      <c r="P44" s="6"/>
      <c r="Q44" s="6"/>
      <c r="R44" s="6"/>
      <c r="S44" s="6"/>
    </row>
    <row r="45" spans="2:19" x14ac:dyDescent="0.25"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6"/>
      <c r="O45" s="6"/>
      <c r="P45" s="6"/>
      <c r="Q45" s="6"/>
      <c r="R45" s="6"/>
      <c r="S45" s="6"/>
    </row>
    <row r="46" spans="2:19" x14ac:dyDescent="0.25">
      <c r="N46" s="6"/>
      <c r="O46" s="6"/>
      <c r="P46" s="6"/>
      <c r="Q46" s="6"/>
      <c r="R46" s="6"/>
      <c r="S46" s="6"/>
    </row>
    <row r="49" spans="14:19" x14ac:dyDescent="0.25">
      <c r="N49" s="6"/>
      <c r="O49" s="6"/>
      <c r="P49" s="6"/>
      <c r="Q49" s="6"/>
      <c r="R49" s="6"/>
      <c r="S49" s="6"/>
    </row>
    <row r="50" spans="14:19" x14ac:dyDescent="0.25">
      <c r="N50" s="6"/>
      <c r="O50" s="6"/>
      <c r="P50" s="6"/>
      <c r="Q50" s="6"/>
      <c r="R50" s="6"/>
      <c r="S50" s="6"/>
    </row>
    <row r="51" spans="14:19" x14ac:dyDescent="0.25">
      <c r="N51" s="6"/>
      <c r="O51" s="6"/>
      <c r="P51" s="6"/>
      <c r="Q51" s="6"/>
      <c r="R51" s="6"/>
      <c r="S51" s="6"/>
    </row>
    <row r="52" spans="14:19" x14ac:dyDescent="0.25">
      <c r="N52" s="6"/>
      <c r="O52" s="6"/>
      <c r="P52" s="6"/>
      <c r="Q52" s="6"/>
      <c r="R52" s="6"/>
      <c r="S52" s="6"/>
    </row>
    <row r="53" spans="14:19" x14ac:dyDescent="0.25">
      <c r="N53" s="6"/>
      <c r="O53" s="43"/>
      <c r="P53" s="43"/>
      <c r="Q53" s="6"/>
      <c r="R53" s="6"/>
      <c r="S53" s="6"/>
    </row>
    <row r="54" spans="14:19" x14ac:dyDescent="0.25">
      <c r="N54" s="6"/>
      <c r="O54" s="6"/>
      <c r="P54" s="6"/>
      <c r="Q54" s="6"/>
      <c r="R54" s="6"/>
      <c r="S54" s="6"/>
    </row>
    <row r="55" spans="14:19" x14ac:dyDescent="0.25">
      <c r="N55" s="6"/>
      <c r="O55" s="6"/>
      <c r="P55" s="6"/>
      <c r="Q55" s="6"/>
      <c r="R55" s="6"/>
      <c r="S55" s="6"/>
    </row>
    <row r="56" spans="14:19" x14ac:dyDescent="0.25">
      <c r="N56" s="6"/>
      <c r="O56" s="6"/>
      <c r="P56" s="6"/>
      <c r="Q56" s="6"/>
      <c r="R56" s="6"/>
      <c r="S5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4" workbookViewId="0"/>
  </sheetViews>
  <sheetFormatPr defaultRowHeight="15" x14ac:dyDescent="0.25"/>
  <sheetData>
    <row r="117" spans="6:13" x14ac:dyDescent="0.25">
      <c r="F117" s="125" t="s">
        <v>58</v>
      </c>
      <c r="G117" s="125"/>
      <c r="H117" s="125"/>
      <c r="I117" s="125"/>
      <c r="J117" s="125"/>
      <c r="K117" s="125"/>
      <c r="L117" s="125"/>
      <c r="M117" s="125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88" workbookViewId="0">
      <selection activeCell="A179" sqref="A17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J54:T150"/>
  <sheetViews>
    <sheetView topLeftCell="A31" workbookViewId="0">
      <selection activeCell="U152" sqref="U152"/>
    </sheetView>
  </sheetViews>
  <sheetFormatPr defaultRowHeight="15" x14ac:dyDescent="0.25"/>
  <sheetData>
    <row r="54" spans="10:11" x14ac:dyDescent="0.25">
      <c r="J54" t="s">
        <v>78</v>
      </c>
      <c r="K54">
        <v>10</v>
      </c>
    </row>
    <row r="87" spans="12:13" x14ac:dyDescent="0.25">
      <c r="L87" t="s">
        <v>78</v>
      </c>
      <c r="M87">
        <v>19</v>
      </c>
    </row>
    <row r="150" spans="20:20" x14ac:dyDescent="0.25">
      <c r="T150" t="s">
        <v>83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2024-11-29T08:40:43Z</dcterms:modified>
</cp:coreProperties>
</file>