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Checking Cases\Nanded\Kawale Sir\Raosaheb Kawale  Office no. 120 - majiwade\"/>
    </mc:Choice>
  </mc:AlternateContent>
  <xr:revisionPtr revIDLastSave="0" documentId="13_ncr:1_{490F12AF-0DF8-4B7C-AD7D-A3B94B943274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vised" sheetId="6" r:id="rId1"/>
    <sheet name="Sheet1" sheetId="3" r:id="rId2"/>
    <sheet name="Sheet2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5" i="6" l="1"/>
  <c r="F16" i="6"/>
  <c r="L38" i="6"/>
  <c r="L37" i="6"/>
  <c r="L36" i="6"/>
  <c r="L33" i="6"/>
  <c r="L34" i="6" s="1"/>
  <c r="L32" i="6"/>
  <c r="P30" i="6"/>
  <c r="L30" i="6"/>
  <c r="O29" i="6"/>
  <c r="L29" i="6"/>
  <c r="L28" i="6"/>
  <c r="L31" i="6" s="1"/>
  <c r="L35" i="6" s="1"/>
  <c r="L39" i="6" s="1"/>
  <c r="L40" i="6" s="1"/>
  <c r="F24" i="6"/>
  <c r="Q23" i="6"/>
  <c r="Q22" i="6"/>
  <c r="Q21" i="6"/>
  <c r="Q20" i="6"/>
  <c r="N20" i="6"/>
  <c r="F20" i="6"/>
  <c r="Q19" i="6"/>
  <c r="N19" i="6"/>
  <c r="F19" i="6"/>
  <c r="C19" i="6"/>
  <c r="C25" i="6" s="1"/>
  <c r="Q18" i="6"/>
  <c r="H16" i="6"/>
  <c r="R14" i="6"/>
  <c r="Q14" i="6"/>
  <c r="C14" i="6"/>
  <c r="C24" i="6" s="1"/>
  <c r="R13" i="6"/>
  <c r="Q13" i="6"/>
  <c r="K13" i="6"/>
  <c r="O8" i="6"/>
  <c r="O9" i="6" s="1"/>
  <c r="I8" i="6"/>
  <c r="H8" i="6"/>
  <c r="J8" i="6" s="1"/>
  <c r="K8" i="6" s="1"/>
  <c r="L8" i="6" s="1"/>
  <c r="N8" i="6" s="1"/>
  <c r="C4" i="6"/>
  <c r="C22" i="6" s="1"/>
  <c r="I3" i="6"/>
  <c r="L2" i="6"/>
  <c r="F2" i="6"/>
  <c r="M8" i="6" l="1"/>
  <c r="M9" i="6" s="1"/>
  <c r="N9" i="6"/>
  <c r="C23" i="6" l="1"/>
  <c r="C29" i="6" s="1"/>
  <c r="L3" i="6"/>
  <c r="L4" i="6" s="1"/>
  <c r="C26" i="6" l="1"/>
  <c r="U233" i="3"/>
  <c r="T231" i="3"/>
  <c r="T188" i="3"/>
  <c r="U150" i="3"/>
  <c r="U113" i="3"/>
  <c r="C28" i="6" l="1"/>
  <c r="C27" i="6"/>
  <c r="P4" i="6"/>
  <c r="R4" i="6" s="1"/>
  <c r="P3" i="6"/>
  <c r="R3" i="6" s="1"/>
  <c r="P2" i="6"/>
  <c r="R2" i="6" s="1"/>
  <c r="S11" i="3"/>
  <c r="S66" i="3"/>
</calcChain>
</file>

<file path=xl/sharedStrings.xml><?xml version="1.0" encoding="utf-8"?>
<sst xmlns="http://schemas.openxmlformats.org/spreadsheetml/2006/main" count="73" uniqueCount="58">
  <si>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</si>
  <si>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</si>
  <si>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</si>
  <si>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</si>
  <si>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</si>
  <si>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</si>
  <si>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</si>
  <si>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</si>
  <si>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</si>
  <si>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</si>
  <si>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</si>
  <si>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</si>
  <si>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</si>
  <si>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</si>
  <si>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 xml:space="preserve"> Value</t>
  </si>
  <si>
    <t>Built up area</t>
  </si>
  <si>
    <t>Interior and other Development</t>
  </si>
  <si>
    <t>Interior and Other Development</t>
  </si>
  <si>
    <t>Normal Case</t>
  </si>
  <si>
    <t xml:space="preserve">Sr. No. </t>
  </si>
  <si>
    <t>Government value</t>
  </si>
  <si>
    <t>Depreciation</t>
  </si>
  <si>
    <t>Particulars</t>
  </si>
  <si>
    <t>Balance Life of Structures in Years</t>
  </si>
  <si>
    <t xml:space="preserve">Built Up Area </t>
  </si>
  <si>
    <t>Rent</t>
  </si>
  <si>
    <t>Residential</t>
  </si>
  <si>
    <t>Property Value</t>
  </si>
  <si>
    <t>Commercial</t>
  </si>
  <si>
    <t>Industrial</t>
  </si>
  <si>
    <t>Government rate</t>
  </si>
  <si>
    <t xml:space="preserve">Sq. M. </t>
  </si>
  <si>
    <t>Sq. Ft.</t>
  </si>
  <si>
    <t>Estimated Replacement Cost</t>
  </si>
  <si>
    <t xml:space="preserve">Depreciated Replacement Cost </t>
  </si>
  <si>
    <t xml:space="preserve">Depreciated Replacement Value </t>
  </si>
  <si>
    <t>Replacement Value</t>
  </si>
  <si>
    <r>
      <t>Insurable value (Depreciated Replacement Value (</t>
    </r>
    <r>
      <rPr>
        <b/>
        <sz val="11"/>
        <color theme="1"/>
        <rFont val="Rupee Foradian"/>
        <family val="2"/>
      </rPr>
      <t xml:space="preserve">` </t>
    </r>
    <r>
      <rPr>
        <b/>
        <sz val="11"/>
        <color theme="1"/>
        <rFont val="Arial Narrow"/>
        <family val="2"/>
      </rPr>
      <t>3,34,62,049.00) - Subsoil Structure Cost (15%)</t>
    </r>
  </si>
  <si>
    <t>Age Of Build</t>
  </si>
  <si>
    <t>(Years)</t>
  </si>
  <si>
    <r>
      <t>(</t>
    </r>
    <r>
      <rPr>
        <b/>
        <sz val="10.5"/>
        <rFont val="Rupee Foradian"/>
        <family val="2"/>
      </rPr>
      <t>`</t>
    </r>
    <r>
      <rPr>
        <b/>
        <sz val="10.5"/>
        <rFont val="Calibri"/>
        <family val="2"/>
      </rPr>
      <t>)</t>
    </r>
  </si>
  <si>
    <r>
      <t>(</t>
    </r>
    <r>
      <rPr>
        <b/>
        <sz val="10.5"/>
        <color rgb="FFFF0000"/>
        <rFont val="Rupee Foradian"/>
        <family val="2"/>
      </rPr>
      <t>`</t>
    </r>
    <r>
      <rPr>
        <b/>
        <sz val="10.5"/>
        <color rgb="FFFF0000"/>
        <rFont val="Calibri"/>
        <family val="2"/>
      </rPr>
      <t>)</t>
    </r>
  </si>
  <si>
    <t>Fair Market Value</t>
  </si>
  <si>
    <t xml:space="preserve"> Sq. Ft.</t>
  </si>
  <si>
    <t>(Sq. Ft.)</t>
  </si>
  <si>
    <t>Lower Ground Floor + Upper Ground Floor + 1st to 30th Floor</t>
  </si>
  <si>
    <t>Basement + Ground + 30th Floor</t>
  </si>
  <si>
    <t>As  per Site Measurement</t>
  </si>
  <si>
    <t>Sq.  Ft.</t>
  </si>
  <si>
    <t xml:space="preserve">IGR </t>
  </si>
  <si>
    <t>24.12.2021</t>
  </si>
  <si>
    <t>22.12.2023</t>
  </si>
  <si>
    <t>Price Indicator</t>
  </si>
  <si>
    <t>Other Valuer</t>
  </si>
  <si>
    <t>Vastukala</t>
  </si>
  <si>
    <t>Estate Agent</t>
  </si>
  <si>
    <t>Shop</t>
  </si>
  <si>
    <t>Office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</si>
</sst>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Rupee Foradian"/>
      <family val="2"/>
    </font>
    <font>
      <b/>
      <sz val="10.5"/>
      <color theme="1"/>
      <name val="Arial Narrow"/>
      <family val="2"/>
    </font>
    <font>
      <b/>
      <sz val="10.5"/>
      <color rgb="FFFF0000"/>
      <name val="Arial Narrow"/>
      <family val="2"/>
    </font>
    <font>
      <b/>
      <sz val="10.5"/>
      <name val="Arial Narrow"/>
      <family val="2"/>
    </font>
    <font>
      <b/>
      <sz val="10.5"/>
      <color rgb="FFFF0000"/>
      <name val="Calibri"/>
      <family val="2"/>
    </font>
    <font>
      <b/>
      <sz val="10.5"/>
      <name val="Calibri"/>
      <family val="2"/>
    </font>
    <font>
      <b/>
      <sz val="10.5"/>
      <name val="Rupee Foradian"/>
      <family val="2"/>
    </font>
    <font>
      <b/>
      <sz val="10.5"/>
      <color rgb="FFFF0000"/>
      <name val="Rupee Foradian"/>
      <family val="2"/>
    </font>
    <font>
      <sz val="10.5"/>
      <color theme="1"/>
      <name val="Arial Narrow"/>
      <family val="2"/>
    </font>
    <font>
      <sz val="10.5"/>
      <color rgb="FF000000"/>
      <name val="Arial Narrow"/>
      <family val="2"/>
    </font>
    <font>
      <sz val="10.5"/>
      <name val="Arial Narrow"/>
      <family val="2"/>
    </font>
    <font>
      <sz val="10.5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9" fillId="0" borderId="0" applyFont="0" applyFill="0" applyBorder="0" applyAlignment="0" applyProtection="0"/>
  </cellStyleXfs>
  <cellXfs count="73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5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5" fillId="0" borderId="0" xfId="0" applyFont="1" applyAlignment="1">
      <alignment wrapText="1"/>
    </xf>
    <xf numFmtId="0" fontId="7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7" fillId="0" borderId="0" xfId="0" applyNumberFormat="1" applyFont="1"/>
    <xf numFmtId="0" fontId="7" fillId="0" borderId="0" xfId="0" applyFont="1"/>
    <xf numFmtId="0" fontId="6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6" fillId="0" borderId="1" xfId="0" applyFont="1" applyBorder="1"/>
    <xf numFmtId="4" fontId="6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4" fontId="3" fillId="0" borderId="2" xfId="0" applyNumberFormat="1" applyFont="1" applyBorder="1" applyAlignment="1">
      <alignment vertical="top"/>
    </xf>
    <xf numFmtId="0" fontId="3" fillId="0" borderId="0" xfId="0" applyFont="1" applyAlignment="1">
      <alignment horizontal="center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5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8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/>
    </xf>
    <xf numFmtId="3" fontId="6" fillId="0" borderId="1" xfId="0" applyNumberFormat="1" applyFont="1" applyBorder="1" applyAlignment="1">
      <alignment vertical="top"/>
    </xf>
    <xf numFmtId="3" fontId="3" fillId="0" borderId="0" xfId="0" applyNumberFormat="1" applyFont="1"/>
    <xf numFmtId="3" fontId="3" fillId="0" borderId="1" xfId="0" applyNumberFormat="1" applyFont="1" applyBorder="1"/>
    <xf numFmtId="3" fontId="6" fillId="0" borderId="1" xfId="0" applyNumberFormat="1" applyFont="1" applyBorder="1"/>
    <xf numFmtId="0" fontId="5" fillId="0" borderId="0" xfId="0" applyFont="1"/>
    <xf numFmtId="3" fontId="5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/>
    <xf numFmtId="3" fontId="3" fillId="0" borderId="0" xfId="0" applyNumberFormat="1" applyFont="1" applyAlignment="1">
      <alignment vertical="top"/>
    </xf>
    <xf numFmtId="3" fontId="7" fillId="0" borderId="0" xfId="0" applyNumberFormat="1" applyFont="1"/>
    <xf numFmtId="0" fontId="12" fillId="0" borderId="0" xfId="0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top" wrapText="1" shrinkToFit="1"/>
    </xf>
    <xf numFmtId="0" fontId="12" fillId="0" borderId="1" xfId="0" applyFont="1" applyBorder="1" applyAlignment="1">
      <alignment horizontal="center" vertical="top" wrapText="1" shrinkToFit="1"/>
    </xf>
    <xf numFmtId="0" fontId="14" fillId="0" borderId="1" xfId="0" applyFont="1" applyBorder="1" applyAlignment="1">
      <alignment horizontal="center" vertical="top" wrapText="1" shrinkToFit="1"/>
    </xf>
    <xf numFmtId="0" fontId="12" fillId="0" borderId="1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 shrinkToFit="1"/>
    </xf>
    <xf numFmtId="0" fontId="18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vertical="top" wrapText="1"/>
    </xf>
    <xf numFmtId="4" fontId="18" fillId="0" borderId="1" xfId="0" applyNumberFormat="1" applyFont="1" applyBorder="1" applyAlignment="1">
      <alignment horizontal="right" vertical="top" wrapText="1"/>
    </xf>
    <xf numFmtId="0" fontId="20" fillId="0" borderId="1" xfId="0" applyFont="1" applyBorder="1" applyAlignment="1">
      <alignment horizontal="right" vertical="top" wrapText="1"/>
    </xf>
    <xf numFmtId="3" fontId="19" fillId="0" borderId="1" xfId="0" applyNumberFormat="1" applyFont="1" applyBorder="1" applyAlignment="1">
      <alignment horizontal="right" vertical="top" wrapText="1"/>
    </xf>
    <xf numFmtId="3" fontId="21" fillId="0" borderId="1" xfId="0" applyNumberFormat="1" applyFont="1" applyBorder="1" applyAlignment="1">
      <alignment vertical="top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/>
    </xf>
    <xf numFmtId="0" fontId="21" fillId="0" borderId="1" xfId="0" applyFont="1" applyBorder="1" applyAlignment="1">
      <alignment vertical="top"/>
    </xf>
    <xf numFmtId="3" fontId="18" fillId="0" borderId="1" xfId="0" applyNumberFormat="1" applyFont="1" applyBorder="1" applyAlignment="1">
      <alignment vertical="top"/>
    </xf>
    <xf numFmtId="2" fontId="1" fillId="0" borderId="0" xfId="0" applyNumberFormat="1" applyFont="1" applyAlignment="1">
      <alignment horizontal="right"/>
    </xf>
    <xf numFmtId="2" fontId="8" fillId="0" borderId="0" xfId="0" applyNumberFormat="1" applyFont="1" applyAlignment="1">
      <alignment horizontal="right" vertical="top" wrapText="1"/>
    </xf>
    <xf numFmtId="0" fontId="0" fillId="2" borderId="0" xfId="0" applyFill="1"/>
    <xf numFmtId="9" fontId="3" fillId="0" borderId="0" xfId="0" applyNumberFormat="1" applyFont="1"/>
    <xf numFmtId="4" fontId="7" fillId="0" borderId="0" xfId="0" applyNumberFormat="1" applyFont="1" applyAlignment="1">
      <alignment vertical="top"/>
    </xf>
    <xf numFmtId="4" fontId="3" fillId="0" borderId="0" xfId="1" applyNumberFormat="1" applyFont="1" applyAlignment="1">
      <alignment vertical="top"/>
    </xf>
    <xf numFmtId="0" fontId="5" fillId="0" borderId="5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14</xdr:col>
      <xdr:colOff>553714</xdr:colOff>
      <xdr:row>42</xdr:row>
      <xdr:rowOff>1117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9C4EEE-C8A7-45B2-A3C3-43B4E5184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9059539" cy="8002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161925</xdr:rowOff>
    </xdr:from>
    <xdr:to>
      <xdr:col>14</xdr:col>
      <xdr:colOff>515613</xdr:colOff>
      <xdr:row>84</xdr:row>
      <xdr:rowOff>182068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F77ED33-74B3-4ACF-BC7B-59D3F56F2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53425"/>
          <a:ext cx="9050013" cy="7830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16</xdr:col>
      <xdr:colOff>210941</xdr:colOff>
      <xdr:row>128</xdr:row>
      <xdr:rowOff>39195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CEC2293-DCE5-4F82-8B00-FF5765AF7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573500"/>
          <a:ext cx="9964541" cy="7849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16</xdr:col>
      <xdr:colOff>182362</xdr:colOff>
      <xdr:row>173</xdr:row>
      <xdr:rowOff>58248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577FF47-920D-4DE5-B808-6F9765914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146000"/>
          <a:ext cx="9935962" cy="7868748"/>
        </a:xfrm>
        <a:prstGeom prst="rect">
          <a:avLst/>
        </a:prstGeom>
      </xdr:spPr>
    </xdr:pic>
    <xdr:clientData/>
  </xdr:twoCellAnchor>
  <xdr:twoCellAnchor editAs="oneCell">
    <xdr:from>
      <xdr:col>22</xdr:col>
      <xdr:colOff>9525</xdr:colOff>
      <xdr:row>132</xdr:row>
      <xdr:rowOff>19050</xdr:rowOff>
    </xdr:from>
    <xdr:to>
      <xdr:col>47</xdr:col>
      <xdr:colOff>59284</xdr:colOff>
      <xdr:row>170</xdr:row>
      <xdr:rowOff>182008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FAD6417-5989-4961-B06A-6A9443607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20725" y="25165050"/>
          <a:ext cx="15289759" cy="7401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14</xdr:col>
      <xdr:colOff>191718</xdr:colOff>
      <xdr:row>221</xdr:row>
      <xdr:rowOff>10723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9F360EA-F2A2-4D07-B04A-35423AC8F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528000"/>
          <a:ext cx="8726118" cy="8583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16</xdr:col>
      <xdr:colOff>68046</xdr:colOff>
      <xdr:row>262</xdr:row>
      <xdr:rowOff>162985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94C5B24-207E-4387-922F-31098EF5E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2481500"/>
          <a:ext cx="9821646" cy="7592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B63F4-5D6E-485B-A3A3-3BE02D85C1F9}">
  <dimension ref="A1:S164"/>
  <sheetViews>
    <sheetView tabSelected="1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D8" sqref="D8"/>
    </sheetView>
  </sheetViews>
  <sheetFormatPr defaultRowHeight="16.5" x14ac:dyDescent="0.3"/>
  <cols>
    <col min="1" max="1" width="9.140625" style="35"/>
    <col min="2" max="2" width="28.7109375" style="2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7" width="13.85546875" style="5" bestFit="1" customWidth="1"/>
    <col min="8" max="8" width="15.28515625" style="5" bestFit="1" customWidth="1"/>
    <col min="9" max="9" width="15.28515625" style="5" customWidth="1"/>
    <col min="10" max="10" width="13.85546875" style="1" bestFit="1" customWidth="1"/>
    <col min="11" max="11" width="15.42578125" style="5" bestFit="1" customWidth="1"/>
    <col min="12" max="12" width="14.140625" style="1" customWidth="1"/>
    <col min="13" max="13" width="13.28515625" style="5" bestFit="1" customWidth="1"/>
    <col min="14" max="14" width="14.85546875" style="5" customWidth="1"/>
    <col min="15" max="15" width="14.85546875" style="5" bestFit="1" customWidth="1"/>
    <col min="16" max="16" width="13.7109375" style="1" bestFit="1" customWidth="1"/>
    <col min="17" max="17" width="9.140625" style="1"/>
    <col min="18" max="18" width="10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x14ac:dyDescent="0.3">
      <c r="B1" s="10" t="s">
        <v>11</v>
      </c>
      <c r="E1" s="1" t="s">
        <v>31</v>
      </c>
      <c r="F1" s="5" t="s">
        <v>32</v>
      </c>
      <c r="H1" s="5" t="s">
        <v>30</v>
      </c>
      <c r="K1" s="5" t="s">
        <v>20</v>
      </c>
      <c r="O1" s="5" t="s">
        <v>25</v>
      </c>
      <c r="R1" s="5" t="s">
        <v>25</v>
      </c>
    </row>
    <row r="2" spans="1:19" x14ac:dyDescent="0.3">
      <c r="B2" s="20" t="s">
        <v>9</v>
      </c>
      <c r="C2" s="43">
        <v>869</v>
      </c>
      <c r="D2" s="5" t="s">
        <v>43</v>
      </c>
      <c r="E2" s="4">
        <v>0</v>
      </c>
      <c r="F2" s="4">
        <f>MROUND(E2*10.764,1)</f>
        <v>0</v>
      </c>
      <c r="G2" s="22"/>
      <c r="H2" s="1" t="s">
        <v>31</v>
      </c>
      <c r="I2" s="43">
        <v>0</v>
      </c>
      <c r="J2" s="43">
        <v>209</v>
      </c>
      <c r="K2" s="43">
        <v>12570</v>
      </c>
      <c r="L2" s="37">
        <f>J2*K2</f>
        <v>2627130</v>
      </c>
      <c r="O2" s="40" t="s">
        <v>27</v>
      </c>
      <c r="P2" s="41">
        <f>C26</f>
        <v>30849500</v>
      </c>
      <c r="R2" s="17">
        <f>P2*0.025/12</f>
        <v>64269.791666666664</v>
      </c>
      <c r="S2" s="15" t="s">
        <v>26</v>
      </c>
    </row>
    <row r="3" spans="1:19" x14ac:dyDescent="0.3">
      <c r="B3" s="21" t="s">
        <v>5</v>
      </c>
      <c r="C3" s="15">
        <v>33000</v>
      </c>
      <c r="D3" s="12"/>
      <c r="E3" s="23"/>
      <c r="F3" s="23"/>
      <c r="G3" s="12"/>
      <c r="H3" s="1" t="s">
        <v>32</v>
      </c>
      <c r="I3" s="43">
        <f>MROUND(I2/10.764,1)</f>
        <v>0</v>
      </c>
      <c r="J3" s="43"/>
      <c r="K3" s="37"/>
      <c r="L3" s="37">
        <f>N9</f>
        <v>2172500</v>
      </c>
      <c r="O3" s="40" t="s">
        <v>27</v>
      </c>
      <c r="P3" s="41">
        <f>C26</f>
        <v>30849500</v>
      </c>
      <c r="Q3" s="5"/>
      <c r="R3" s="17">
        <f>P3*0.04/12</f>
        <v>102831.66666666667</v>
      </c>
      <c r="S3" s="42" t="s">
        <v>28</v>
      </c>
    </row>
    <row r="4" spans="1:19" x14ac:dyDescent="0.3">
      <c r="B4" s="28" t="s">
        <v>14</v>
      </c>
      <c r="C4" s="37">
        <f>ROUND((C2*C3),0)</f>
        <v>28677000</v>
      </c>
      <c r="F4" s="19"/>
      <c r="G4" s="19"/>
      <c r="I4" s="37"/>
      <c r="J4" s="43"/>
      <c r="K4" s="37"/>
      <c r="L4" s="37">
        <f>SUM(L2:L3)</f>
        <v>4799630</v>
      </c>
      <c r="O4" s="40" t="s">
        <v>27</v>
      </c>
      <c r="P4" s="41">
        <f>C26</f>
        <v>30849500</v>
      </c>
      <c r="Q4" s="5"/>
      <c r="R4" s="17">
        <f>P4*0.033/12</f>
        <v>84836.125</v>
      </c>
      <c r="S4" s="15" t="s">
        <v>29</v>
      </c>
    </row>
    <row r="5" spans="1:19" x14ac:dyDescent="0.3">
      <c r="B5" s="10" t="s">
        <v>12</v>
      </c>
    </row>
    <row r="6" spans="1:19" s="3" customFormat="1" ht="57" x14ac:dyDescent="0.2">
      <c r="A6" s="47" t="s">
        <v>19</v>
      </c>
      <c r="B6" s="48" t="s">
        <v>22</v>
      </c>
      <c r="C6" s="48" t="s">
        <v>24</v>
      </c>
      <c r="D6" s="48" t="s">
        <v>0</v>
      </c>
      <c r="E6" s="48" t="s">
        <v>1</v>
      </c>
      <c r="F6" s="48" t="s">
        <v>2</v>
      </c>
      <c r="G6" s="48" t="s">
        <v>33</v>
      </c>
      <c r="H6" s="49" t="s">
        <v>38</v>
      </c>
      <c r="I6" s="49" t="s">
        <v>23</v>
      </c>
      <c r="J6" s="50" t="s">
        <v>3</v>
      </c>
      <c r="K6" s="50" t="s">
        <v>4</v>
      </c>
      <c r="L6" s="49" t="s">
        <v>34</v>
      </c>
      <c r="M6" s="51" t="s">
        <v>21</v>
      </c>
      <c r="N6" s="51" t="s">
        <v>35</v>
      </c>
      <c r="O6" s="51" t="s">
        <v>36</v>
      </c>
    </row>
    <row r="7" spans="1:19" s="3" customFormat="1" ht="14.25" x14ac:dyDescent="0.2">
      <c r="A7" s="47"/>
      <c r="B7" s="48"/>
      <c r="C7" s="49" t="s">
        <v>44</v>
      </c>
      <c r="D7" s="48"/>
      <c r="E7" s="48"/>
      <c r="F7" s="48"/>
      <c r="G7" s="52" t="s">
        <v>40</v>
      </c>
      <c r="H7" s="46" t="s">
        <v>39</v>
      </c>
      <c r="I7" s="46" t="s">
        <v>39</v>
      </c>
      <c r="J7" s="50"/>
      <c r="K7" s="50"/>
      <c r="L7" s="50" t="s">
        <v>41</v>
      </c>
      <c r="M7" s="50" t="s">
        <v>41</v>
      </c>
      <c r="N7" s="50" t="s">
        <v>41</v>
      </c>
      <c r="O7" s="50" t="s">
        <v>41</v>
      </c>
    </row>
    <row r="8" spans="1:19" s="8" customFormat="1" x14ac:dyDescent="0.25">
      <c r="A8" s="53">
        <v>1</v>
      </c>
      <c r="B8" s="54"/>
      <c r="C8" s="55">
        <v>869</v>
      </c>
      <c r="D8" s="56">
        <v>2023</v>
      </c>
      <c r="E8" s="56">
        <v>2024</v>
      </c>
      <c r="F8" s="56">
        <v>60</v>
      </c>
      <c r="G8" s="57">
        <v>2500</v>
      </c>
      <c r="H8" s="58">
        <f>E8-D8</f>
        <v>1</v>
      </c>
      <c r="I8" s="58">
        <f t="shared" ref="I8" si="0">F8-H8</f>
        <v>59</v>
      </c>
      <c r="J8" s="58">
        <f t="shared" ref="J8" si="1">IF(H8&gt;=5,90*H8/F8,0)</f>
        <v>0</v>
      </c>
      <c r="K8" s="58">
        <f t="shared" ref="K8" si="2">G8/100*J8</f>
        <v>0</v>
      </c>
      <c r="L8" s="58">
        <f t="shared" ref="L8" si="3">ROUND((G8-K8),0)</f>
        <v>2500</v>
      </c>
      <c r="M8" s="58">
        <f t="shared" ref="M8" si="4">O8-N8</f>
        <v>0</v>
      </c>
      <c r="N8" s="58">
        <f t="shared" ref="N8" si="5">ROUND((L8*C8),0)</f>
        <v>2172500</v>
      </c>
      <c r="O8" s="58">
        <f t="shared" ref="O8" si="6">ROUND((C8*G8),0)</f>
        <v>2172500</v>
      </c>
    </row>
    <row r="9" spans="1:19" x14ac:dyDescent="0.3">
      <c r="A9" s="59"/>
      <c r="B9" s="60"/>
      <c r="C9" s="61"/>
      <c r="D9" s="61"/>
      <c r="E9" s="61"/>
      <c r="F9" s="62"/>
      <c r="G9" s="58"/>
      <c r="H9" s="58"/>
      <c r="I9" s="58"/>
      <c r="J9" s="63"/>
      <c r="K9" s="58"/>
      <c r="L9" s="63"/>
      <c r="M9" s="58">
        <f>SUM(M8:M8)</f>
        <v>0</v>
      </c>
      <c r="N9" s="58">
        <f>SUM(N8:N8)</f>
        <v>2172500</v>
      </c>
      <c r="O9" s="58">
        <f>SUM(O8:O8)</f>
        <v>2172500</v>
      </c>
    </row>
    <row r="10" spans="1:19" x14ac:dyDescent="0.3">
      <c r="B10" s="7"/>
      <c r="C10" s="8"/>
      <c r="D10" s="8"/>
      <c r="E10" s="8"/>
      <c r="F10" s="9"/>
      <c r="G10" s="9"/>
      <c r="H10" s="9"/>
      <c r="I10" s="9"/>
      <c r="J10" s="8"/>
      <c r="K10" s="13"/>
      <c r="L10" s="14"/>
      <c r="M10" s="9"/>
      <c r="N10" s="24"/>
      <c r="O10" s="24"/>
    </row>
    <row r="11" spans="1:19" x14ac:dyDescent="0.3">
      <c r="B11" s="70" t="s">
        <v>16</v>
      </c>
      <c r="C11" s="70"/>
      <c r="D11" s="8"/>
      <c r="E11" s="8"/>
      <c r="F11" s="9"/>
      <c r="G11" s="9"/>
      <c r="H11" s="9"/>
      <c r="I11" s="9"/>
      <c r="J11" s="8"/>
      <c r="K11" s="13"/>
      <c r="L11" s="14"/>
      <c r="M11" s="9"/>
      <c r="N11" s="24"/>
      <c r="O11" s="24"/>
    </row>
    <row r="12" spans="1:19" x14ac:dyDescent="0.3">
      <c r="B12" s="20" t="s">
        <v>15</v>
      </c>
      <c r="C12" s="39">
        <v>0</v>
      </c>
      <c r="D12" s="8"/>
      <c r="E12" s="14"/>
      <c r="F12" s="9"/>
      <c r="G12" s="9"/>
      <c r="H12" s="9"/>
      <c r="I12" s="9"/>
      <c r="J12" s="8"/>
      <c r="K12" s="13"/>
      <c r="L12" s="14"/>
      <c r="M12" s="9"/>
      <c r="N12" s="24" t="s">
        <v>49</v>
      </c>
      <c r="O12" s="24"/>
    </row>
    <row r="13" spans="1:19" x14ac:dyDescent="0.3">
      <c r="B13" s="21" t="s">
        <v>5</v>
      </c>
      <c r="C13" s="36">
        <v>0</v>
      </c>
      <c r="D13" s="8"/>
      <c r="E13" s="8"/>
      <c r="F13" s="9"/>
      <c r="G13" s="9"/>
      <c r="H13" s="9"/>
      <c r="I13" s="9"/>
      <c r="J13" s="8"/>
      <c r="K13" s="13">
        <f>57000-2500</f>
        <v>54500</v>
      </c>
      <c r="L13" s="14"/>
      <c r="M13" s="9"/>
      <c r="N13" s="24" t="s">
        <v>50</v>
      </c>
      <c r="O13" s="24">
        <v>33.32</v>
      </c>
      <c r="P13" s="1">
        <v>6600000</v>
      </c>
      <c r="Q13" s="1">
        <f>P13/O13</f>
        <v>198079.23169267707</v>
      </c>
      <c r="R13" s="1">
        <f>Q13/10.764</f>
        <v>18402.009633284753</v>
      </c>
    </row>
    <row r="14" spans="1:19" x14ac:dyDescent="0.3">
      <c r="B14" s="21" t="s">
        <v>6</v>
      </c>
      <c r="C14" s="38">
        <f>ROUND((C12*C13),0)</f>
        <v>0</v>
      </c>
      <c r="D14" s="8"/>
      <c r="E14" s="8"/>
      <c r="F14" s="9"/>
      <c r="G14" s="9"/>
      <c r="H14" s="9"/>
      <c r="I14" s="9"/>
      <c r="J14" s="8"/>
      <c r="K14" s="13"/>
      <c r="L14" s="14"/>
      <c r="M14" s="9"/>
      <c r="N14" s="24" t="s">
        <v>51</v>
      </c>
      <c r="O14" s="24">
        <v>17.36</v>
      </c>
      <c r="P14" s="1">
        <v>17500000</v>
      </c>
      <c r="Q14" s="1">
        <f>P14/O14</f>
        <v>1008064.5161290322</v>
      </c>
      <c r="R14" s="1">
        <f>Q14/10.764</f>
        <v>93651.478644466028</v>
      </c>
    </row>
    <row r="15" spans="1:19" x14ac:dyDescent="0.3">
      <c r="B15" s="7"/>
      <c r="C15" s="8"/>
      <c r="D15" s="8"/>
      <c r="E15" s="8"/>
      <c r="F15" s="9">
        <f>32500-29500</f>
        <v>3000</v>
      </c>
      <c r="G15" s="9"/>
      <c r="H15" s="9"/>
      <c r="I15" s="9"/>
      <c r="J15" s="8"/>
      <c r="K15" s="13"/>
      <c r="L15" s="14"/>
      <c r="M15" s="9"/>
      <c r="N15" s="24"/>
      <c r="O15" s="24"/>
    </row>
    <row r="16" spans="1:19" ht="22.5" customHeight="1" x14ac:dyDescent="0.3">
      <c r="B16" s="71" t="s">
        <v>13</v>
      </c>
      <c r="C16" s="72"/>
      <c r="D16" s="8"/>
      <c r="E16" s="8"/>
      <c r="F16" s="9">
        <f>35000-2500</f>
        <v>32500</v>
      </c>
      <c r="G16" s="9"/>
      <c r="H16" s="9">
        <f>71556/60000</f>
        <v>1.1926000000000001</v>
      </c>
      <c r="I16" s="9"/>
      <c r="J16" s="8"/>
      <c r="K16" s="9"/>
      <c r="L16" s="8"/>
      <c r="M16" s="9"/>
      <c r="N16" s="9"/>
      <c r="O16" s="9"/>
    </row>
    <row r="17" spans="1:17" x14ac:dyDescent="0.3">
      <c r="B17" s="20" t="s">
        <v>9</v>
      </c>
      <c r="C17" s="39">
        <v>0</v>
      </c>
      <c r="E17" s="25"/>
      <c r="F17" s="25"/>
      <c r="G17" s="26"/>
      <c r="H17" s="11"/>
      <c r="I17" s="11"/>
      <c r="L17" s="18"/>
      <c r="N17" s="5" t="s">
        <v>52</v>
      </c>
    </row>
    <row r="18" spans="1:17" x14ac:dyDescent="0.3">
      <c r="B18" s="21" t="s">
        <v>5</v>
      </c>
      <c r="C18" s="36">
        <v>0</v>
      </c>
      <c r="D18" s="27"/>
      <c r="E18" s="19"/>
      <c r="F18" s="19"/>
      <c r="G18" s="13"/>
      <c r="H18" s="11" t="s">
        <v>53</v>
      </c>
      <c r="I18" s="11"/>
      <c r="K18" s="18" t="s">
        <v>54</v>
      </c>
      <c r="L18" s="18"/>
      <c r="O18">
        <v>39000000</v>
      </c>
      <c r="P18">
        <v>340</v>
      </c>
      <c r="Q18">
        <f t="shared" ref="Q18:Q23" si="7">O18/P18</f>
        <v>114705.88235294117</v>
      </c>
    </row>
    <row r="19" spans="1:17" x14ac:dyDescent="0.3">
      <c r="B19" s="21" t="s">
        <v>6</v>
      </c>
      <c r="C19" s="38">
        <f>ROUND((C17*C18),0)</f>
        <v>0</v>
      </c>
      <c r="D19" s="6"/>
      <c r="E19" s="6"/>
      <c r="F19" s="18">
        <f>H19/K19</f>
        <v>1.2553684210526317</v>
      </c>
      <c r="G19" s="67">
        <v>0.26</v>
      </c>
      <c r="H19" s="11">
        <v>71556</v>
      </c>
      <c r="I19" s="11"/>
      <c r="K19" s="5">
        <v>57000</v>
      </c>
      <c r="L19" s="18"/>
      <c r="M19" s="5">
        <v>65500</v>
      </c>
      <c r="N19" s="5">
        <f>H19/M19</f>
        <v>1.0924580152671757</v>
      </c>
      <c r="O19">
        <v>13500000</v>
      </c>
      <c r="P19">
        <v>190</v>
      </c>
      <c r="Q19">
        <f t="shared" si="7"/>
        <v>71052.631578947374</v>
      </c>
    </row>
    <row r="20" spans="1:17" x14ac:dyDescent="0.3">
      <c r="B20" s="35"/>
      <c r="C20" s="16"/>
      <c r="D20" s="6"/>
      <c r="E20" s="6"/>
      <c r="F20" s="18">
        <f>H20/K20</f>
        <v>0.65806249999999999</v>
      </c>
      <c r="G20" s="67">
        <v>0.66</v>
      </c>
      <c r="H20" s="11">
        <v>31587</v>
      </c>
      <c r="I20" s="11"/>
      <c r="K20" s="5">
        <v>48000</v>
      </c>
      <c r="L20" s="18"/>
      <c r="M20" s="5">
        <v>35500</v>
      </c>
      <c r="N20" s="5">
        <f>H20/M20</f>
        <v>0.88977464788732397</v>
      </c>
      <c r="O20">
        <v>12500000</v>
      </c>
      <c r="P20">
        <v>350</v>
      </c>
      <c r="Q20">
        <f t="shared" si="7"/>
        <v>35714.285714285717</v>
      </c>
    </row>
    <row r="21" spans="1:17" x14ac:dyDescent="0.3">
      <c r="C21" s="6" t="s">
        <v>18</v>
      </c>
      <c r="D21" s="6"/>
      <c r="E21" s="6"/>
      <c r="F21" s="18"/>
      <c r="H21" s="11"/>
      <c r="I21" s="11"/>
      <c r="L21" s="18"/>
      <c r="O21" s="66">
        <v>9500000</v>
      </c>
      <c r="P21" s="66">
        <v>170</v>
      </c>
      <c r="Q21" s="66">
        <f t="shared" si="7"/>
        <v>55882.352941176468</v>
      </c>
    </row>
    <row r="22" spans="1:17" x14ac:dyDescent="0.3">
      <c r="B22" s="2" t="s">
        <v>11</v>
      </c>
      <c r="C22" s="44">
        <f>C4</f>
        <v>28677000</v>
      </c>
      <c r="D22" s="16"/>
      <c r="E22" s="16"/>
      <c r="F22" s="16"/>
      <c r="G22" s="16"/>
      <c r="H22" s="17"/>
      <c r="I22" s="45"/>
      <c r="L22" s="15"/>
      <c r="O22" s="66">
        <v>72500000</v>
      </c>
      <c r="P22" s="66">
        <v>1082</v>
      </c>
      <c r="Q22" s="66">
        <f t="shared" si="7"/>
        <v>67005.545286506473</v>
      </c>
    </row>
    <row r="23" spans="1:17" x14ac:dyDescent="0.3">
      <c r="B23" s="2" t="s">
        <v>12</v>
      </c>
      <c r="C23" s="44">
        <f>N9</f>
        <v>2172500</v>
      </c>
      <c r="D23" s="16"/>
      <c r="E23" s="16"/>
      <c r="F23" s="16"/>
      <c r="G23" s="16"/>
      <c r="H23" s="17"/>
      <c r="I23" s="17"/>
      <c r="J23" s="1" t="s">
        <v>45</v>
      </c>
      <c r="L23" s="17"/>
      <c r="O23">
        <v>15000000</v>
      </c>
      <c r="P23">
        <v>227</v>
      </c>
      <c r="Q23">
        <f t="shared" si="7"/>
        <v>66079.29515418502</v>
      </c>
    </row>
    <row r="24" spans="1:17" x14ac:dyDescent="0.3">
      <c r="B24" s="2" t="s">
        <v>17</v>
      </c>
      <c r="C24" s="44">
        <f>C14</f>
        <v>0</v>
      </c>
      <c r="D24" s="16"/>
      <c r="E24" s="16"/>
      <c r="F24" s="16">
        <f>C2/10.764</f>
        <v>80.732069862504645</v>
      </c>
      <c r="G24" s="16"/>
      <c r="H24" s="17"/>
      <c r="I24" s="17"/>
      <c r="J24" s="1" t="s">
        <v>46</v>
      </c>
      <c r="L24" s="17"/>
    </row>
    <row r="25" spans="1:17" x14ac:dyDescent="0.3">
      <c r="A25" s="1"/>
      <c r="B25" s="2" t="s">
        <v>10</v>
      </c>
      <c r="C25" s="44">
        <f>C19</f>
        <v>0</v>
      </c>
      <c r="D25" s="16"/>
      <c r="E25" s="16"/>
      <c r="F25" s="16"/>
      <c r="G25" s="16"/>
      <c r="H25" s="17"/>
      <c r="I25" s="17"/>
      <c r="L25" s="17"/>
    </row>
    <row r="26" spans="1:17" x14ac:dyDescent="0.3">
      <c r="A26" s="1"/>
      <c r="B26" s="10" t="s">
        <v>42</v>
      </c>
      <c r="C26" s="68">
        <f>C22+C23+C24+C25</f>
        <v>30849500</v>
      </c>
      <c r="D26" s="15"/>
      <c r="F26" s="15"/>
      <c r="N26" s="5" t="s">
        <v>55</v>
      </c>
    </row>
    <row r="27" spans="1:17" x14ac:dyDescent="0.3">
      <c r="A27" s="1"/>
      <c r="B27" s="10" t="s">
        <v>7</v>
      </c>
      <c r="C27" s="68">
        <f>MROUND(C26*90%,1)</f>
        <v>27764550</v>
      </c>
      <c r="D27" s="17"/>
      <c r="F27" s="15"/>
      <c r="H27" s="29"/>
      <c r="I27" s="29"/>
      <c r="J27" s="1" t="s">
        <v>47</v>
      </c>
      <c r="N27" s="5">
        <v>250</v>
      </c>
    </row>
    <row r="28" spans="1:17" x14ac:dyDescent="0.3">
      <c r="A28" s="1"/>
      <c r="B28" s="10" t="s">
        <v>8</v>
      </c>
      <c r="C28" s="68">
        <f>MROUND(C26*80%,1)</f>
        <v>24679600</v>
      </c>
      <c r="D28" s="17"/>
      <c r="F28" s="15"/>
      <c r="H28" s="29"/>
      <c r="I28" s="29"/>
      <c r="J28" s="1">
        <v>2.96</v>
      </c>
      <c r="K28" s="5">
        <v>2.5099999999999998</v>
      </c>
      <c r="L28" s="64">
        <f>J28*K28</f>
        <v>7.4295999999999989</v>
      </c>
      <c r="N28" s="5">
        <v>350</v>
      </c>
    </row>
    <row r="29" spans="1:17" s="8" customFormat="1" x14ac:dyDescent="0.3">
      <c r="B29" s="40" t="s">
        <v>37</v>
      </c>
      <c r="C29" s="69">
        <f>C23</f>
        <v>2172500</v>
      </c>
      <c r="D29" s="7"/>
      <c r="F29" s="9"/>
      <c r="G29" s="9"/>
      <c r="H29" s="9"/>
      <c r="I29" s="9"/>
      <c r="J29" s="8">
        <v>6.69</v>
      </c>
      <c r="K29" s="9">
        <v>8.93</v>
      </c>
      <c r="L29" s="64">
        <f>J29*K29</f>
        <v>59.741700000000002</v>
      </c>
      <c r="M29" s="9" t="s">
        <v>57</v>
      </c>
      <c r="N29" s="9">
        <v>1600</v>
      </c>
      <c r="O29" s="30">
        <f>N29*P29</f>
        <v>72000000</v>
      </c>
      <c r="P29" s="8">
        <v>45000</v>
      </c>
    </row>
    <row r="30" spans="1:17" x14ac:dyDescent="0.3">
      <c r="A30" s="1"/>
      <c r="J30" s="1">
        <v>3.82</v>
      </c>
      <c r="K30" s="5">
        <v>5.08</v>
      </c>
      <c r="L30" s="64">
        <f>J30*K30</f>
        <v>19.4056</v>
      </c>
      <c r="M30" s="5" t="s">
        <v>56</v>
      </c>
      <c r="N30" s="5">
        <v>350</v>
      </c>
      <c r="O30" s="30">
        <v>39000000</v>
      </c>
      <c r="P30" s="1">
        <f>O30/N30</f>
        <v>111428.57142857143</v>
      </c>
    </row>
    <row r="31" spans="1:17" x14ac:dyDescent="0.3">
      <c r="A31" s="1"/>
      <c r="L31" s="65">
        <f>SUM(L28:L30)</f>
        <v>86.576899999999995</v>
      </c>
      <c r="O31" s="30"/>
    </row>
    <row r="32" spans="1:17" x14ac:dyDescent="0.3">
      <c r="A32" s="1"/>
      <c r="H32" s="29"/>
      <c r="I32" s="29"/>
      <c r="J32" s="1">
        <v>0.15</v>
      </c>
      <c r="K32" s="5">
        <v>0.56000000000000005</v>
      </c>
      <c r="L32" s="64">
        <f>J32*K32</f>
        <v>8.4000000000000005E-2</v>
      </c>
      <c r="O32" s="30"/>
    </row>
    <row r="33" spans="1:15" x14ac:dyDescent="0.3">
      <c r="A33" s="1"/>
      <c r="J33" s="1">
        <v>1.5</v>
      </c>
      <c r="K33" s="5">
        <v>1.2</v>
      </c>
      <c r="L33" s="65">
        <f>J33*K33</f>
        <v>1.7999999999999998</v>
      </c>
      <c r="O33" s="30"/>
    </row>
    <row r="34" spans="1:15" x14ac:dyDescent="0.3">
      <c r="A34" s="1"/>
      <c r="L34" s="65">
        <f>SUM(L32:L33)</f>
        <v>1.8839999999999999</v>
      </c>
      <c r="O34" s="30"/>
    </row>
    <row r="35" spans="1:15" x14ac:dyDescent="0.3">
      <c r="A35" s="1"/>
      <c r="L35" s="65">
        <f>L31-L34</f>
        <v>84.692899999999995</v>
      </c>
      <c r="O35" s="30"/>
    </row>
    <row r="36" spans="1:15" x14ac:dyDescent="0.3">
      <c r="A36" s="1"/>
      <c r="J36" s="1">
        <v>1.3</v>
      </c>
      <c r="K36" s="5">
        <v>1</v>
      </c>
      <c r="L36" s="65">
        <f>J36*K36</f>
        <v>1.3</v>
      </c>
      <c r="O36" s="30"/>
    </row>
    <row r="37" spans="1:15" x14ac:dyDescent="0.3">
      <c r="A37" s="1"/>
      <c r="J37" s="1">
        <v>0.2</v>
      </c>
      <c r="K37" s="5">
        <v>0.69</v>
      </c>
      <c r="L37" s="65">
        <f>J37*K37</f>
        <v>0.13799999999999998</v>
      </c>
    </row>
    <row r="38" spans="1:15" x14ac:dyDescent="0.3">
      <c r="A38" s="1"/>
      <c r="E38" s="1">
        <v>340000</v>
      </c>
      <c r="J38" s="1">
        <v>0.26</v>
      </c>
      <c r="K38" s="5">
        <v>7.69</v>
      </c>
      <c r="L38" s="65">
        <f>J38*K38</f>
        <v>1.9994000000000001</v>
      </c>
    </row>
    <row r="39" spans="1:15" x14ac:dyDescent="0.3">
      <c r="A39" s="1"/>
      <c r="B39" s="1"/>
      <c r="L39" s="64">
        <f>SUM(L35:L38)</f>
        <v>88.130299999999991</v>
      </c>
    </row>
    <row r="40" spans="1:15" x14ac:dyDescent="0.3">
      <c r="A40" s="1"/>
      <c r="B40" s="1"/>
      <c r="L40" s="64">
        <f>L39*10.764</f>
        <v>948.63454919999981</v>
      </c>
    </row>
    <row r="41" spans="1:15" x14ac:dyDescent="0.3">
      <c r="A41" s="1"/>
      <c r="B41" s="1"/>
      <c r="L41" s="1">
        <v>949</v>
      </c>
      <c r="M41" s="5" t="s">
        <v>48</v>
      </c>
    </row>
    <row r="42" spans="1:15" x14ac:dyDescent="0.3">
      <c r="A42" s="1"/>
      <c r="B42" s="1"/>
    </row>
    <row r="43" spans="1:15" x14ac:dyDescent="0.3">
      <c r="A43" s="1"/>
      <c r="B43" s="1"/>
    </row>
    <row r="44" spans="1:15" x14ac:dyDescent="0.3">
      <c r="A44" s="1"/>
      <c r="B44" s="1"/>
    </row>
    <row r="45" spans="1:15" x14ac:dyDescent="0.3">
      <c r="A45" s="1"/>
      <c r="B45" s="1"/>
    </row>
    <row r="46" spans="1:15" x14ac:dyDescent="0.3">
      <c r="A46" s="1"/>
      <c r="B46" s="1"/>
    </row>
    <row r="47" spans="1:15" x14ac:dyDescent="0.3">
      <c r="A47" s="1"/>
      <c r="B47" s="1"/>
    </row>
    <row r="48" spans="1:15" x14ac:dyDescent="0.3">
      <c r="A48" s="1"/>
      <c r="B48" s="1"/>
      <c r="F48" s="31"/>
      <c r="G48" s="31"/>
      <c r="H48" s="31"/>
      <c r="I48" s="31"/>
      <c r="J48" s="10"/>
    </row>
    <row r="49" spans="1:9" x14ac:dyDescent="0.3">
      <c r="A49" s="1"/>
      <c r="B49" s="1"/>
      <c r="F49" s="30"/>
      <c r="G49" s="1"/>
      <c r="H49" s="30"/>
      <c r="I49" s="30"/>
    </row>
    <row r="50" spans="1:9" x14ac:dyDescent="0.3">
      <c r="A50" s="1"/>
      <c r="B50" s="1"/>
      <c r="F50" s="30"/>
      <c r="G50" s="30"/>
      <c r="H50" s="32"/>
      <c r="I50" s="32"/>
    </row>
    <row r="51" spans="1:9" x14ac:dyDescent="0.3">
      <c r="A51" s="1"/>
      <c r="B51" s="1"/>
      <c r="F51" s="30"/>
      <c r="G51" s="30"/>
      <c r="H51" s="30"/>
      <c r="I51" s="30"/>
    </row>
    <row r="52" spans="1:9" x14ac:dyDescent="0.3">
      <c r="A52" s="1"/>
      <c r="B52" s="1"/>
      <c r="F52" s="30"/>
      <c r="G52" s="33"/>
      <c r="H52" s="30"/>
      <c r="I52" s="30"/>
    </row>
    <row r="53" spans="1:9" x14ac:dyDescent="0.3">
      <c r="A53" s="1"/>
      <c r="B53" s="1"/>
      <c r="F53" s="30"/>
      <c r="G53" s="30"/>
      <c r="H53" s="30"/>
      <c r="I53" s="30"/>
    </row>
    <row r="54" spans="1:9" x14ac:dyDescent="0.3">
      <c r="A54" s="1"/>
      <c r="B54" s="1"/>
      <c r="F54" s="30"/>
      <c r="G54" s="30"/>
      <c r="H54" s="30"/>
      <c r="I54" s="30"/>
    </row>
    <row r="55" spans="1:9" x14ac:dyDescent="0.3">
      <c r="A55" s="1"/>
      <c r="B55" s="1"/>
      <c r="F55" s="30"/>
      <c r="G55" s="30"/>
      <c r="H55" s="30"/>
      <c r="I55" s="30"/>
    </row>
    <row r="56" spans="1:9" x14ac:dyDescent="0.3">
      <c r="A56" s="1"/>
      <c r="B56" s="1"/>
      <c r="F56" s="30"/>
      <c r="G56" s="30"/>
      <c r="H56" s="30"/>
      <c r="I56" s="30"/>
    </row>
    <row r="57" spans="1:9" x14ac:dyDescent="0.3">
      <c r="A57" s="1"/>
      <c r="B57" s="1"/>
      <c r="F57" s="30"/>
      <c r="G57" s="30"/>
      <c r="H57" s="30"/>
      <c r="I57" s="30"/>
    </row>
    <row r="58" spans="1:9" x14ac:dyDescent="0.3">
      <c r="A58" s="1"/>
      <c r="B58" s="1"/>
      <c r="F58" s="30"/>
      <c r="G58" s="30"/>
      <c r="H58" s="30"/>
      <c r="I58" s="30"/>
    </row>
    <row r="59" spans="1:9" x14ac:dyDescent="0.3">
      <c r="A59" s="1"/>
      <c r="B59" s="1"/>
    </row>
    <row r="60" spans="1:9" x14ac:dyDescent="0.3">
      <c r="A60" s="1"/>
      <c r="B60" s="1"/>
    </row>
    <row r="61" spans="1:9" x14ac:dyDescent="0.3">
      <c r="A61" s="1"/>
      <c r="B61" s="1"/>
    </row>
    <row r="62" spans="1:9" x14ac:dyDescent="0.3">
      <c r="A62" s="1"/>
      <c r="B62" s="1"/>
    </row>
    <row r="63" spans="1:9" x14ac:dyDescent="0.3">
      <c r="A63" s="1"/>
      <c r="B63" s="1"/>
    </row>
    <row r="64" spans="1:9" x14ac:dyDescent="0.3">
      <c r="A64" s="1"/>
      <c r="B64" s="1"/>
      <c r="F64" s="34"/>
    </row>
    <row r="65" spans="1:6" x14ac:dyDescent="0.3">
      <c r="A65" s="1"/>
      <c r="B65" s="1"/>
      <c r="F65" s="34"/>
    </row>
    <row r="66" spans="1:6" x14ac:dyDescent="0.3">
      <c r="A66" s="1"/>
      <c r="B66" s="1"/>
      <c r="F66" s="34"/>
    </row>
    <row r="67" spans="1:6" x14ac:dyDescent="0.3">
      <c r="A67" s="1"/>
      <c r="B67" s="1"/>
      <c r="F67" s="34"/>
    </row>
    <row r="68" spans="1:6" x14ac:dyDescent="0.3">
      <c r="A68" s="1"/>
      <c r="B68" s="1"/>
      <c r="F68" s="34"/>
    </row>
    <row r="69" spans="1:6" x14ac:dyDescent="0.3">
      <c r="A69" s="1"/>
      <c r="B69" s="1"/>
      <c r="F69" s="34"/>
    </row>
    <row r="70" spans="1:6" x14ac:dyDescent="0.3">
      <c r="A70" s="1"/>
      <c r="B70" s="1"/>
      <c r="F70" s="34"/>
    </row>
    <row r="71" spans="1:6" x14ac:dyDescent="0.3">
      <c r="A71" s="1"/>
      <c r="B71" s="1"/>
      <c r="F71" s="34"/>
    </row>
    <row r="72" spans="1:6" x14ac:dyDescent="0.3">
      <c r="A72" s="1"/>
      <c r="B72" s="1"/>
      <c r="F72" s="34"/>
    </row>
    <row r="73" spans="1:6" x14ac:dyDescent="0.3">
      <c r="A73" s="1"/>
      <c r="B73" s="1"/>
      <c r="F73" s="34"/>
    </row>
    <row r="74" spans="1:6" x14ac:dyDescent="0.3">
      <c r="A74" s="1"/>
      <c r="B74" s="1"/>
    </row>
    <row r="75" spans="1:6" x14ac:dyDescent="0.3">
      <c r="A75" s="1"/>
      <c r="B75" s="1"/>
    </row>
    <row r="76" spans="1:6" x14ac:dyDescent="0.3">
      <c r="A76" s="1"/>
      <c r="B76" s="1"/>
    </row>
    <row r="77" spans="1:6" x14ac:dyDescent="0.3">
      <c r="A77" s="1"/>
      <c r="B77" s="1"/>
    </row>
    <row r="78" spans="1:6" x14ac:dyDescent="0.3">
      <c r="A78" s="1"/>
      <c r="B78" s="1"/>
    </row>
    <row r="79" spans="1:6" x14ac:dyDescent="0.3">
      <c r="A79" s="1"/>
      <c r="B79" s="1"/>
    </row>
    <row r="80" spans="1:6" x14ac:dyDescent="0.3">
      <c r="A80" s="1"/>
      <c r="B80" s="1"/>
    </row>
    <row r="81" spans="1:2" x14ac:dyDescent="0.3">
      <c r="A81" s="1"/>
      <c r="B81" s="1"/>
    </row>
    <row r="82" spans="1:2" x14ac:dyDescent="0.3">
      <c r="A82" s="1"/>
      <c r="B82" s="1"/>
    </row>
    <row r="83" spans="1:2" x14ac:dyDescent="0.3">
      <c r="A83" s="1"/>
      <c r="B83" s="1"/>
    </row>
    <row r="84" spans="1:2" x14ac:dyDescent="0.3">
      <c r="A84" s="1"/>
      <c r="B84" s="1"/>
    </row>
    <row r="85" spans="1:2" x14ac:dyDescent="0.3">
      <c r="A85" s="1"/>
      <c r="B85" s="1"/>
    </row>
    <row r="86" spans="1:2" x14ac:dyDescent="0.3">
      <c r="A86" s="1"/>
      <c r="B86" s="1"/>
    </row>
    <row r="87" spans="1:2" x14ac:dyDescent="0.3">
      <c r="A87" s="1"/>
      <c r="B87" s="1"/>
    </row>
    <row r="88" spans="1:2" x14ac:dyDescent="0.3">
      <c r="A88" s="1"/>
      <c r="B88" s="1"/>
    </row>
    <row r="89" spans="1:2" x14ac:dyDescent="0.3">
      <c r="A89" s="1"/>
      <c r="B89" s="1"/>
    </row>
    <row r="90" spans="1:2" x14ac:dyDescent="0.3">
      <c r="A90" s="1"/>
      <c r="B90" s="1"/>
    </row>
    <row r="91" spans="1:2" x14ac:dyDescent="0.3">
      <c r="A91" s="1"/>
      <c r="B91" s="1"/>
    </row>
    <row r="92" spans="1:2" x14ac:dyDescent="0.3">
      <c r="A92" s="1"/>
      <c r="B92" s="1"/>
    </row>
    <row r="93" spans="1:2" x14ac:dyDescent="0.3">
      <c r="A93" s="1"/>
      <c r="B93" s="1"/>
    </row>
    <row r="94" spans="1:2" x14ac:dyDescent="0.3">
      <c r="A94" s="1"/>
      <c r="B94" s="1"/>
    </row>
    <row r="95" spans="1:2" x14ac:dyDescent="0.3">
      <c r="A95" s="1"/>
      <c r="B95" s="1"/>
    </row>
    <row r="96" spans="1:2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</sheetData>
  <mergeCells count="2">
    <mergeCell ref="B11:C11"/>
    <mergeCell ref="B16:C1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970BC-2021-4420-A10A-924FDE9FB362}">
  <dimension ref="Q11:U233"/>
  <sheetViews>
    <sheetView topLeftCell="A235" workbookViewId="0">
      <selection activeCell="S233" sqref="S233:U233"/>
    </sheetView>
  </sheetViews>
  <sheetFormatPr defaultRowHeight="15" x14ac:dyDescent="0.25"/>
  <sheetData>
    <row r="11" spans="17:19" x14ac:dyDescent="0.25">
      <c r="Q11">
        <v>39000000</v>
      </c>
      <c r="R11">
        <v>340</v>
      </c>
      <c r="S11">
        <f>Q11/R11</f>
        <v>114705.88235294117</v>
      </c>
    </row>
    <row r="66" spans="17:19" x14ac:dyDescent="0.25">
      <c r="Q66">
        <v>13500000</v>
      </c>
      <c r="R66">
        <v>190</v>
      </c>
      <c r="S66">
        <f>Q66/R66</f>
        <v>71052.631578947374</v>
      </c>
    </row>
    <row r="113" spans="19:21" x14ac:dyDescent="0.25">
      <c r="S113">
        <v>12500000</v>
      </c>
      <c r="T113">
        <v>350</v>
      </c>
      <c r="U113">
        <f>S113/T113</f>
        <v>35714.285714285717</v>
      </c>
    </row>
    <row r="150" spans="19:21" x14ac:dyDescent="0.25">
      <c r="S150">
        <v>9500000</v>
      </c>
      <c r="T150">
        <v>170</v>
      </c>
      <c r="U150">
        <f>S150/T150</f>
        <v>55882.352941176468</v>
      </c>
    </row>
    <row r="188" spans="18:20" x14ac:dyDescent="0.25">
      <c r="R188">
        <v>72500000</v>
      </c>
      <c r="S188">
        <v>1082</v>
      </c>
      <c r="T188">
        <f>R188/S188</f>
        <v>67005.545286506473</v>
      </c>
    </row>
    <row r="231" spans="19:21" x14ac:dyDescent="0.25">
      <c r="S231">
        <v>250</v>
      </c>
      <c r="T231">
        <f>S231/1.1</f>
        <v>227.27272727272725</v>
      </c>
    </row>
    <row r="233" spans="19:21" x14ac:dyDescent="0.25">
      <c r="S233">
        <v>15000000</v>
      </c>
      <c r="T233">
        <v>227</v>
      </c>
      <c r="U233">
        <f>S233/T233</f>
        <v>66079.29515418502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FC294-D4CD-4D7E-AC3A-C812736102DE}">
  <dimension ref="A1"/>
  <sheetViews>
    <sheetView workbookViewId="0">
      <selection activeCell="C38" sqref="C3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Revised</vt:lpstr>
      <vt:lpstr>Sheet1</vt:lpstr>
      <vt:lpstr>Sheet2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2024-11-30T12:54:35Z</dcterms:modified>
</cp:coreProperties>
</file>