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Shirish Govind Joshi - Bhandup\"/>
    </mc:Choice>
  </mc:AlternateContent>
  <xr:revisionPtr revIDLastSave="0" documentId="13_ncr:1_{7493FCFC-2E8D-4783-B45F-946471CDFD2D}" xr6:coauthVersionLast="47" xr6:coauthVersionMax="47" xr10:uidLastSave="{00000000-0000-0000-0000-000000000000}"/>
  <bookViews>
    <workbookView xWindow="-120" yWindow="-120" windowWidth="29040" windowHeight="15720" tabRatio="932" activeTab="5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4" i="25" l="1"/>
  <c r="D2" i="25"/>
  <c r="I4" i="23"/>
  <c r="F34" i="23"/>
  <c r="F33" i="23"/>
  <c r="F32" i="23"/>
  <c r="C3" i="4"/>
  <c r="D3" i="4" s="1"/>
  <c r="C4" i="4"/>
  <c r="D4" i="4" s="1"/>
  <c r="C5" i="4"/>
  <c r="D5" i="4" s="1"/>
  <c r="C6" i="4"/>
  <c r="D6" i="4"/>
  <c r="C7" i="4"/>
  <c r="D7" i="4"/>
  <c r="C8" i="4"/>
  <c r="D8" i="4"/>
  <c r="C9" i="4"/>
  <c r="D9" i="4"/>
  <c r="D2" i="4"/>
  <c r="C2" i="4"/>
  <c r="S4" i="4"/>
  <c r="S5" i="4"/>
  <c r="S6" i="4"/>
  <c r="S8" i="4"/>
  <c r="O6" i="4"/>
  <c r="S3" i="4"/>
  <c r="P7" i="4"/>
  <c r="S7" i="4" s="1"/>
  <c r="P8" i="4"/>
  <c r="P9" i="4"/>
  <c r="P10" i="4"/>
  <c r="P11" i="4"/>
  <c r="P12" i="4"/>
  <c r="P13" i="4"/>
  <c r="P14" i="4"/>
  <c r="P15" i="4"/>
  <c r="P16" i="4"/>
  <c r="P17" i="4"/>
  <c r="P18" i="4"/>
  <c r="O4" i="4"/>
  <c r="P4" i="4" s="1"/>
  <c r="O5" i="4"/>
  <c r="P5" i="4" s="1"/>
  <c r="O7" i="4"/>
  <c r="O8" i="4"/>
  <c r="O9" i="4"/>
  <c r="O10" i="4"/>
  <c r="O11" i="4"/>
  <c r="O12" i="4"/>
  <c r="O13" i="4"/>
  <c r="O14" i="4"/>
  <c r="O3" i="4"/>
  <c r="C7" i="23"/>
  <c r="R2" i="4"/>
  <c r="O2" i="4"/>
  <c r="S2" i="4"/>
  <c r="P2" i="4"/>
  <c r="M4" i="23"/>
  <c r="I34" i="23"/>
  <c r="F18" i="23" l="1"/>
  <c r="G3" i="4"/>
  <c r="G2" i="4"/>
  <c r="P3" i="4"/>
  <c r="C14" i="4"/>
  <c r="I3" i="23" l="1"/>
  <c r="R4" i="4"/>
  <c r="R5" i="4"/>
  <c r="R6" i="4"/>
  <c r="C24" i="23" l="1"/>
  <c r="D23" i="23"/>
  <c r="C23" i="23" s="1"/>
  <c r="C17" i="4" l="1"/>
  <c r="G26" i="4"/>
  <c r="G34" i="4" s="1"/>
  <c r="R9" i="4"/>
  <c r="R8" i="4"/>
  <c r="R7" i="4"/>
  <c r="R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1" i="23"/>
  <c r="C25" i="23"/>
  <c r="J19" i="4"/>
  <c r="I19" i="4"/>
  <c r="E19" i="4"/>
  <c r="J18" i="4"/>
  <c r="I18" i="4"/>
  <c r="E18" i="4"/>
  <c r="H33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<sst xmlns="http://schemas.openxmlformats.org/spreadsheetml/2006/main" count="111" uniqueCount="89">
  <si>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</si>
  <si>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</si>
  <si>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</si>
  <si>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</si>
  <si>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</si>
  <si>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</si>
  <si>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</si>
  <si>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</si>
  <si>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</si>
  <si>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</si>
  <si>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</si>
  <si>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</si>
  <si>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</si>
  <si>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</si>
  <si>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</si>
  <si>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</si>
  <si>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</si>
  <si>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</si>
  <si>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</si>
  <si>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</si>
  <si>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</si>
  <si>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</si>
  <si>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</si>
  <si>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</si>
  <si>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</si>
  <si>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</si>
  <si>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</si>
  <si>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</si>
  <si>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</si>
  <si>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</si>
  <si>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</si>
  <si>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</si>
  <si>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</si>
  <si>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</si>
  <si>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</si>
  <si>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</si>
  <si>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</si>
  <si>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</si>
  <si>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</si>
  <si>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</si>
  <si>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</si>
  <si>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</si>
  <si>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</si>
  <si>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</si>
  <si>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</si>
  <si>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</si>
  <si>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</si>
  <si>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</si>
  <si>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</si>
  <si>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</si>
  <si>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</si>
  <si>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</si>
  <si>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</si>
  <si>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</si>
  <si>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</si>
  <si>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</si>
  <si>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</si>
  <si>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</si>
  <si>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</si>
  <si>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</si>
  <si>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</si>
  <si>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</si>
  <si>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</si>
  <si>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</si>
  <si>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</si>
  <si>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 xml:space="preserve">Measurement </t>
  </si>
  <si>
    <t>FB</t>
  </si>
  <si>
    <t>Total CA</t>
  </si>
  <si>
    <t xml:space="preserve">CA </t>
  </si>
  <si>
    <t>BUA (10%)</t>
  </si>
  <si>
    <t xml:space="preserve">Measurment </t>
  </si>
  <si>
    <t xml:space="preserve">Draft agreement </t>
  </si>
  <si>
    <t>Lead No. 12465</t>
  </si>
  <si>
    <t>SBI - RACPC Sion -Shirish Govind Joshi And Mrs Prerna Shirish Joshi - Residential Flat No. 2201, 22nd Floor, Building No 7, Otmh, Neptunes Living Point CHSL, L B S Marg, Bhandup West, Mumbai, 400078, State - Maharashtra, India</t>
  </si>
  <si>
    <t>SBI ( RACPC Sion)</t>
  </si>
  <si>
    <t>Shirish Govind Joshi</t>
  </si>
  <si>
    <t>22nd Flr</t>
  </si>
  <si>
    <t>As per Agreement</t>
  </si>
  <si>
    <t>Sq. M.</t>
  </si>
  <si>
    <t>2.5 BHK</t>
  </si>
  <si>
    <t>Bal + Dry Bal</t>
  </si>
  <si>
    <t>Flat no.</t>
  </si>
  <si>
    <t>OC</t>
  </si>
  <si>
    <t>page</t>
  </si>
  <si>
    <t>Built up area (20%)</t>
  </si>
  <si>
    <t>BUA (20%)</t>
  </si>
  <si>
    <t>building referance details</t>
  </si>
  <si>
    <t>wing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</si>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</sst>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3" fontId="0" fillId="0" borderId="0" xfId="0" applyNumberFormat="1"/>
    <xf numFmtId="4" fontId="1" fillId="0" borderId="0" xfId="0" applyNumberFormat="1" applyFont="1"/>
    <xf numFmtId="0" fontId="2" fillId="0" borderId="0" xfId="0" applyFont="1" applyAlignment="1">
      <alignment horizontal="center"/>
    </xf>
    <xf numFmtId="3" fontId="0" fillId="2" borderId="0" xfId="0" applyNumberFormat="1" applyFill="1"/>
    <xf numFmtId="4" fontId="0" fillId="2" borderId="0" xfId="0" applyNumberFormat="1" applyFill="1"/>
    <xf numFmtId="1" fontId="0" fillId="2" borderId="0" xfId="0" applyNumberFormat="1" applyFill="1"/>
    <xf numFmtId="43" fontId="2" fillId="2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732693</xdr:colOff>
      <xdr:row>6</xdr:row>
      <xdr:rowOff>183174</xdr:rowOff>
    </xdr:from>
    <xdr:to>
      <xdr:col>11</xdr:col>
      <xdr:colOff>479566</xdr:colOff>
      <xdr:row>15</xdr:row>
      <xdr:rowOff>87924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BB5F5-26D9-BE93-BE2B-D743A6ED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155" y="1567962"/>
          <a:ext cx="5264046" cy="180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539E8-A4D4-59C3-90A7-C3BBA654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6830378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29</xdr:row>
      <xdr:rowOff>0</xdr:rowOff>
    </xdr:from>
    <xdr:to>
      <xdr:col>13</xdr:col>
      <xdr:colOff>142875</xdr:colOff>
      <xdr:row>32</xdr:row>
      <xdr:rowOff>28575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914316B-D066-45F4-F3E1-4AB3BE2FA4C7}"/>
            </a:ext>
          </a:extLst>
        </xdr:cNvPr>
        <xdr:cNvSpPr/>
      </xdr:nvSpPr>
      <xdr:spPr>
        <a:xfrm>
          <a:off x="276225" y="5524500"/>
          <a:ext cx="7791450" cy="6000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AD7E31-B9BE-F235-1019-30993A358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11</xdr:col>
      <xdr:colOff>401042</xdr:colOff>
      <xdr:row>92</xdr:row>
      <xdr:rowOff>105986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3E1FAA-EBE0-FCF1-68AF-ACC379BBD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7106642" cy="8678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11</xdr:col>
      <xdr:colOff>258147</xdr:colOff>
      <xdr:row>133</xdr:row>
      <xdr:rowOff>77248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6EDF93-40B9-CE13-149C-A03D1BF70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6963747" cy="7506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11</xdr:col>
      <xdr:colOff>439147</xdr:colOff>
      <xdr:row>175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7EFEDF-5CD9-CE09-E1A1-6A9F03454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7144747" cy="7754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11</xdr:col>
      <xdr:colOff>420094</xdr:colOff>
      <xdr:row>217</xdr:row>
      <xdr:rowOff>124879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2D216E-EFC2-2E93-7F93-B61DEBDB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909000"/>
          <a:ext cx="7125694" cy="7554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20</xdr:row>
      <xdr:rowOff>133900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FFAD1-CCB8-A538-4AEA-485D3215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39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16</xdr:col>
      <xdr:colOff>553888</xdr:colOff>
      <xdr:row>66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89F22B-89E4-40E4-C070-16C37C8F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72000"/>
          <a:ext cx="10307488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11</xdr:col>
      <xdr:colOff>477252</xdr:colOff>
      <xdr:row>111</xdr:row>
      <xdr:rowOff>58275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08644A-5193-548A-FB20-E447AC63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7182852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18</xdr:col>
      <xdr:colOff>258742</xdr:colOff>
      <xdr:row>149</xdr:row>
      <xdr:rowOff>29510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CDB4CE-2F99-CA9E-38BC-A3FC3BC8D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717000"/>
          <a:ext cx="11231542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K33" sqref="K3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107400*0.15</f>
        <v>16110</v>
      </c>
      <c r="E2" s="40">
        <f>C3+D2</f>
        <v>123510</v>
      </c>
      <c r="G2" s="118" t="s">
        <v>44</v>
      </c>
      <c r="H2" s="119"/>
    </row>
    <row r="3" spans="2:17" ht="15.75" thickBot="1" x14ac:dyDescent="0.3">
      <c r="B3" s="32" t="s">
        <v>33</v>
      </c>
      <c r="C3" s="34">
        <v>107400</v>
      </c>
      <c r="D3" s="32"/>
      <c r="E3" s="32"/>
      <c r="F3" s="32"/>
      <c r="G3" s="47" t="s">
        <v>45</v>
      </c>
      <c r="H3" s="48" t="s">
        <v>46</v>
      </c>
      <c r="I3" s="49"/>
      <c r="K3" s="50" t="s">
        <v>47</v>
      </c>
      <c r="L3" s="51"/>
      <c r="N3" s="52" t="s">
        <v>48</v>
      </c>
      <c r="O3" s="53"/>
      <c r="P3" s="53"/>
      <c r="Q3" s="54"/>
    </row>
    <row r="4" spans="2:17" ht="27" thickBot="1" x14ac:dyDescent="0.3">
      <c r="B4" s="32" t="s">
        <v>34</v>
      </c>
      <c r="C4" s="34">
        <f>D2</f>
        <v>16110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24</v>
      </c>
      <c r="L4" s="59" t="s">
        <v>25</v>
      </c>
      <c r="N4" s="47" t="s">
        <v>45</v>
      </c>
      <c r="O4" s="60" t="s">
        <v>46</v>
      </c>
      <c r="P4" s="61"/>
    </row>
    <row r="5" spans="2:17" ht="15.75" thickBot="1" x14ac:dyDescent="0.3">
      <c r="B5" s="32" t="s">
        <v>49</v>
      </c>
      <c r="C5" s="35">
        <f>C3+C4</f>
        <v>123510</v>
      </c>
      <c r="D5" s="36" t="s">
        <v>35</v>
      </c>
      <c r="E5" s="37">
        <f>ROUND(C5/10.764,0)</f>
        <v>11474</v>
      </c>
      <c r="F5" s="36" t="s">
        <v>36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50</v>
      </c>
      <c r="C6" s="34">
        <v>52800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26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51</v>
      </c>
      <c r="C7" s="35">
        <f>C5-C6</f>
        <v>70710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28</v>
      </c>
      <c r="L7" s="62" t="s">
        <v>29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52</v>
      </c>
      <c r="C8" s="66">
        <v>0.15</v>
      </c>
      <c r="D8" s="67">
        <f>1-C8</f>
        <v>0.85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53</v>
      </c>
      <c r="D9" s="35">
        <f>ROUND(C7*D8,0)</f>
        <v>60104</v>
      </c>
      <c r="E9" s="32"/>
      <c r="F9" s="32"/>
      <c r="G9" s="55">
        <v>6</v>
      </c>
      <c r="H9" s="56">
        <v>6</v>
      </c>
      <c r="I9" s="57">
        <v>94</v>
      </c>
      <c r="K9" s="68" t="s">
        <v>27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54</v>
      </c>
      <c r="C10" s="35">
        <f>C6+D9</f>
        <v>112904</v>
      </c>
      <c r="D10" s="36" t="s">
        <v>35</v>
      </c>
      <c r="E10" s="37">
        <f>ROUND(C10/10.764,0)</f>
        <v>10489</v>
      </c>
      <c r="F10" s="36" t="s">
        <v>36</v>
      </c>
      <c r="G10" s="55">
        <v>7</v>
      </c>
      <c r="H10" s="56">
        <v>7</v>
      </c>
      <c r="I10" s="57">
        <v>93</v>
      </c>
      <c r="K10" s="70" t="s">
        <v>30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31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37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32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38</v>
      </c>
      <c r="C13" s="41">
        <v>2009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39</v>
      </c>
      <c r="C14" s="41">
        <f>C12-C13</f>
        <v>15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55</v>
      </c>
      <c r="C15" s="33">
        <f>60-C14</f>
        <v>45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4"/>
  <sheetViews>
    <sheetView topLeftCell="B4" zoomScale="130" zoomScaleNormal="13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5" x14ac:dyDescent="0.25">
      <c r="A1" s="7"/>
      <c r="B1" s="8"/>
      <c r="C1" s="8"/>
      <c r="D1" s="9"/>
    </row>
    <row r="2" spans="1:15" x14ac:dyDescent="0.25">
      <c r="A2" s="10"/>
      <c r="C2" s="113" t="s">
        <v>76</v>
      </c>
      <c r="D2" s="12"/>
      <c r="F2" s="5"/>
      <c r="G2" s="5" t="s">
        <v>58</v>
      </c>
      <c r="H2" s="5" t="s">
        <v>78</v>
      </c>
      <c r="I2" s="84" t="s">
        <v>36</v>
      </c>
      <c r="K2" s="4" t="s">
        <v>70</v>
      </c>
      <c r="L2" t="s">
        <v>64</v>
      </c>
      <c r="M2">
        <v>792</v>
      </c>
    </row>
    <row r="3" spans="1:15" ht="18.75" x14ac:dyDescent="0.3">
      <c r="A3" s="10" t="s">
        <v>8</v>
      </c>
      <c r="B3" s="13"/>
      <c r="C3" s="94">
        <f>C4+C5</f>
        <v>23600</v>
      </c>
      <c r="D3" s="14" t="s">
        <v>56</v>
      </c>
      <c r="F3" s="83" t="s">
        <v>77</v>
      </c>
      <c r="G3" s="84" t="s">
        <v>68</v>
      </c>
      <c r="H3" s="88">
        <v>75.650000000000006</v>
      </c>
      <c r="I3" s="85">
        <f>H3*10.764</f>
        <v>814.29660000000001</v>
      </c>
      <c r="L3" t="s">
        <v>80</v>
      </c>
      <c r="M3">
        <v>64</v>
      </c>
    </row>
    <row r="4" spans="1:15" ht="30" x14ac:dyDescent="0.25">
      <c r="A4" s="15" t="s">
        <v>9</v>
      </c>
      <c r="B4" s="13"/>
      <c r="C4" s="94">
        <v>3000</v>
      </c>
      <c r="D4" s="16"/>
      <c r="F4" s="100" t="s">
        <v>79</v>
      </c>
      <c r="G4" s="84" t="s">
        <v>85</v>
      </c>
      <c r="H4" s="84">
        <v>90.78</v>
      </c>
      <c r="I4" s="85">
        <f>H4*10.764</f>
        <v>977.15591999999992</v>
      </c>
      <c r="M4" s="4">
        <f>SUM(M2:M3)</f>
        <v>856</v>
      </c>
    </row>
    <row r="5" spans="1:15" x14ac:dyDescent="0.25">
      <c r="A5" s="10" t="s">
        <v>10</v>
      </c>
      <c r="B5" s="13"/>
      <c r="C5" s="94">
        <v>20600</v>
      </c>
      <c r="D5" s="16"/>
      <c r="F5" s="5"/>
      <c r="G5" s="84"/>
      <c r="H5" s="84"/>
      <c r="I5" s="85"/>
    </row>
    <row r="6" spans="1:15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  <c r="M6" s="82"/>
    </row>
    <row r="7" spans="1:15" x14ac:dyDescent="0.25">
      <c r="A7" s="10" t="s">
        <v>12</v>
      </c>
      <c r="B7" s="17"/>
      <c r="C7" s="4">
        <f>E9-E8</f>
        <v>15</v>
      </c>
      <c r="D7" s="18"/>
      <c r="O7" s="82"/>
    </row>
    <row r="8" spans="1:15" x14ac:dyDescent="0.25">
      <c r="A8" s="10" t="s">
        <v>13</v>
      </c>
      <c r="B8" s="17"/>
      <c r="C8" s="4">
        <f>C9-C7</f>
        <v>45</v>
      </c>
      <c r="D8" s="101" t="s">
        <v>82</v>
      </c>
      <c r="E8" s="101">
        <v>2009</v>
      </c>
      <c r="L8" s="4"/>
      <c r="M8" s="4"/>
    </row>
    <row r="9" spans="1:15" x14ac:dyDescent="0.25">
      <c r="A9" s="10" t="s">
        <v>14</v>
      </c>
      <c r="B9" s="17"/>
      <c r="C9" s="4">
        <v>60</v>
      </c>
      <c r="D9" s="102"/>
      <c r="E9" s="101">
        <v>2024</v>
      </c>
    </row>
    <row r="10" spans="1:15" ht="30" x14ac:dyDescent="0.25">
      <c r="A10" s="15" t="s">
        <v>15</v>
      </c>
      <c r="B10" s="17"/>
      <c r="C10" s="4">
        <f>90*C7/C9</f>
        <v>22.5</v>
      </c>
      <c r="D10" s="4"/>
      <c r="E10" s="5"/>
      <c r="F10" s="82"/>
      <c r="G10" s="82"/>
    </row>
    <row r="11" spans="1:15" x14ac:dyDescent="0.25">
      <c r="A11" s="10"/>
      <c r="B11" s="19"/>
      <c r="C11" s="95">
        <f>C10%</f>
        <v>0.22500000000000001</v>
      </c>
      <c r="D11" s="20"/>
      <c r="E11" s="3"/>
    </row>
    <row r="12" spans="1:15" x14ac:dyDescent="0.25">
      <c r="A12" s="10" t="s">
        <v>16</v>
      </c>
      <c r="B12" s="13"/>
      <c r="C12" s="94">
        <f>C6*C11</f>
        <v>675</v>
      </c>
      <c r="D12" s="16"/>
      <c r="M12" s="5" t="s">
        <v>86</v>
      </c>
      <c r="N12" s="5"/>
      <c r="O12" s="5"/>
    </row>
    <row r="13" spans="1:15" x14ac:dyDescent="0.25">
      <c r="A13" s="10" t="s">
        <v>17</v>
      </c>
      <c r="B13" s="13"/>
      <c r="C13" s="94">
        <f>C6-C12</f>
        <v>2325</v>
      </c>
      <c r="D13" s="16"/>
      <c r="H13" s="4"/>
      <c r="M13" s="82"/>
    </row>
    <row r="14" spans="1:15" x14ac:dyDescent="0.25">
      <c r="A14" s="10" t="s">
        <v>10</v>
      </c>
      <c r="B14" s="13"/>
      <c r="C14" s="94">
        <f>C5</f>
        <v>20600</v>
      </c>
      <c r="D14" s="16"/>
      <c r="F14" s="82"/>
      <c r="G14" s="82"/>
      <c r="H14" s="4"/>
    </row>
    <row r="15" spans="1:15" x14ac:dyDescent="0.25">
      <c r="B15" s="13"/>
      <c r="C15" s="94"/>
      <c r="D15" s="16"/>
      <c r="H15" s="4"/>
    </row>
    <row r="16" spans="1:15" x14ac:dyDescent="0.25">
      <c r="A16" s="21" t="s">
        <v>18</v>
      </c>
      <c r="B16" s="22"/>
      <c r="C16" s="96">
        <f>C14+C13</f>
        <v>22925</v>
      </c>
      <c r="D16" s="14"/>
      <c r="E16" s="103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0" t="s">
        <v>64</v>
      </c>
      <c r="B18" s="5"/>
      <c r="C18" s="97">
        <v>814</v>
      </c>
      <c r="D18" s="44"/>
      <c r="E18" s="45"/>
      <c r="F18">
        <f>11500000/C18</f>
        <v>14127.764127764127</v>
      </c>
    </row>
    <row r="19" spans="1:9" x14ac:dyDescent="0.25">
      <c r="A19" s="10"/>
      <c r="B19" s="4"/>
      <c r="C19" s="117">
        <f>C18*C16</f>
        <v>18660950</v>
      </c>
      <c r="D19" s="5" t="s">
        <v>41</v>
      </c>
      <c r="E19" s="23"/>
      <c r="H19" s="82"/>
    </row>
    <row r="20" spans="1:9" x14ac:dyDescent="0.25">
      <c r="A20" s="10"/>
      <c r="B20" s="40"/>
      <c r="C20" s="117">
        <f>C19*0.98</f>
        <v>18287731</v>
      </c>
      <c r="D20" s="5" t="s">
        <v>19</v>
      </c>
      <c r="E20" s="24"/>
      <c r="F20" s="6"/>
      <c r="H20" s="82"/>
    </row>
    <row r="21" spans="1:9" x14ac:dyDescent="0.25">
      <c r="A21" s="10"/>
      <c r="C21" s="117">
        <f>C19*0.8</f>
        <v>14928760</v>
      </c>
      <c r="D21" s="5" t="s">
        <v>20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21</v>
      </c>
      <c r="B23" s="26"/>
      <c r="C23" s="98">
        <f>C4*D23</f>
        <v>2686200.0000000005</v>
      </c>
      <c r="D23" s="27">
        <f>C18*1.1</f>
        <v>895.40000000000009</v>
      </c>
      <c r="E23" s="40"/>
    </row>
    <row r="24" spans="1:9" x14ac:dyDescent="0.25">
      <c r="A24" s="10" t="s">
        <v>22</v>
      </c>
      <c r="C24">
        <f>433.4*10438</f>
        <v>4523829.2</v>
      </c>
    </row>
    <row r="25" spans="1:9" x14ac:dyDescent="0.25">
      <c r="A25" s="28" t="s">
        <v>23</v>
      </c>
      <c r="B25" s="11"/>
      <c r="C25" s="40">
        <f>C19*0.025/12</f>
        <v>38876.979166666664</v>
      </c>
      <c r="D25" s="24"/>
    </row>
    <row r="26" spans="1:9" x14ac:dyDescent="0.25">
      <c r="C26" s="40"/>
      <c r="D26" s="24"/>
      <c r="F26" s="84" t="s">
        <v>72</v>
      </c>
    </row>
    <row r="27" spans="1:9" x14ac:dyDescent="0.25">
      <c r="A27" s="5" t="s">
        <v>73</v>
      </c>
      <c r="B27" s="5"/>
      <c r="C27" s="99"/>
      <c r="D27" s="86"/>
    </row>
    <row r="28" spans="1:9" x14ac:dyDescent="0.25">
      <c r="D28" s="82"/>
    </row>
    <row r="29" spans="1:9" x14ac:dyDescent="0.25">
      <c r="A29" s="5" t="s">
        <v>71</v>
      </c>
      <c r="B29" s="109"/>
      <c r="D29"/>
      <c r="E29" s="11"/>
      <c r="F29" s="11"/>
      <c r="G29" s="3"/>
      <c r="H29" s="3"/>
    </row>
    <row r="30" spans="1:9" ht="18.75" x14ac:dyDescent="0.3">
      <c r="D30"/>
      <c r="E30" s="120" t="s">
        <v>74</v>
      </c>
      <c r="F30" s="120"/>
      <c r="G30" s="3"/>
      <c r="H30" s="87"/>
      <c r="I30" s="40"/>
    </row>
    <row r="31" spans="1:9" ht="18.75" x14ac:dyDescent="0.3">
      <c r="C31" s="40"/>
      <c r="D31"/>
      <c r="E31" s="120" t="s">
        <v>75</v>
      </c>
      <c r="F31" s="120"/>
      <c r="G31" s="3"/>
      <c r="H31" s="3"/>
    </row>
    <row r="32" spans="1:9" ht="18.75" x14ac:dyDescent="0.3">
      <c r="D32"/>
      <c r="E32" s="108" t="s">
        <v>41</v>
      </c>
      <c r="F32" s="108">
        <f>C19</f>
        <v>18660950</v>
      </c>
      <c r="G32" s="3"/>
      <c r="H32" s="3"/>
    </row>
    <row r="33" spans="1:9" ht="18.75" x14ac:dyDescent="0.3">
      <c r="D33"/>
      <c r="E33" s="108" t="s">
        <v>19</v>
      </c>
      <c r="F33" s="108">
        <f>C20</f>
        <v>18287731</v>
      </c>
      <c r="G33" s="3"/>
      <c r="H33" s="87">
        <f>F32*80</f>
        <v>1492876000</v>
      </c>
    </row>
    <row r="34" spans="1:9" ht="18.75" x14ac:dyDescent="0.3">
      <c r="D34"/>
      <c r="E34" s="108" t="s">
        <v>20</v>
      </c>
      <c r="F34" s="108">
        <f>C21</f>
        <v>14928760</v>
      </c>
      <c r="G34" s="3"/>
      <c r="H34" s="3"/>
      <c r="I34">
        <f>11554200</f>
        <v>11554200</v>
      </c>
    </row>
    <row r="35" spans="1:9" x14ac:dyDescent="0.25">
      <c r="D35"/>
      <c r="G35" s="3"/>
      <c r="H35" s="3"/>
    </row>
    <row r="36" spans="1:9" x14ac:dyDescent="0.25">
      <c r="D36"/>
      <c r="E36" s="3"/>
      <c r="F36" s="3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</row>
    <row r="40" spans="1:9" x14ac:dyDescent="0.25">
      <c r="D40"/>
    </row>
    <row r="46" spans="1:9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6"/>
  <sheetViews>
    <sheetView zoomScaleNormal="100" workbookViewId="0">
      <selection activeCell="B5" sqref="B5:F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3</v>
      </c>
      <c r="C1" s="1" t="s">
        <v>84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81</v>
      </c>
      <c r="O1" s="1" t="s">
        <v>64</v>
      </c>
      <c r="P1" s="1" t="s">
        <v>69</v>
      </c>
      <c r="Q1" s="1" t="s">
        <v>1</v>
      </c>
      <c r="R1" s="1" t="s">
        <v>64</v>
      </c>
      <c r="S1" s="1" t="s">
        <v>60</v>
      </c>
    </row>
    <row r="2" spans="1:34" x14ac:dyDescent="0.25">
      <c r="B2" s="5">
        <v>990</v>
      </c>
      <c r="C2" s="5">
        <f>B2*1.2</f>
        <v>1188</v>
      </c>
      <c r="D2" s="115">
        <f>C2*1.2</f>
        <v>1425.6</v>
      </c>
      <c r="E2" s="115">
        <v>21500000</v>
      </c>
      <c r="F2" s="115">
        <f t="shared" ref="F2:F15" si="0">ROUND((E2/B2),0)</f>
        <v>21717</v>
      </c>
      <c r="G2" s="89">
        <f t="shared" ref="G2:G15" si="1">ROUND((E2/C2),0)</f>
        <v>18098</v>
      </c>
      <c r="H2">
        <f t="shared" ref="H2:H15" si="2">ROUND((E2/D2),0)</f>
        <v>15081</v>
      </c>
      <c r="I2">
        <v>12</v>
      </c>
      <c r="J2">
        <v>1203</v>
      </c>
      <c r="O2" s="111">
        <f>P2/1.2</f>
        <v>670.14869999999996</v>
      </c>
      <c r="P2" s="2">
        <f>74.71*10.764</f>
        <v>804.17843999999991</v>
      </c>
      <c r="Q2" s="2">
        <v>13600000</v>
      </c>
      <c r="R2" s="2">
        <f t="shared" ref="R2:R9" si="3">Q2/O2</f>
        <v>20294.003405512838</v>
      </c>
      <c r="S2" s="2">
        <f>Q2/P2</f>
        <v>16911.669504594032</v>
      </c>
      <c r="Z2" s="42"/>
    </row>
    <row r="3" spans="1:34" x14ac:dyDescent="0.25">
      <c r="B3" s="5">
        <v>650</v>
      </c>
      <c r="C3" s="5">
        <f t="shared" ref="C3:D3" si="4">B3*1.2</f>
        <v>780</v>
      </c>
      <c r="D3" s="115">
        <f t="shared" si="4"/>
        <v>936</v>
      </c>
      <c r="E3" s="115">
        <v>15000000</v>
      </c>
      <c r="F3" s="115">
        <f t="shared" si="0"/>
        <v>23077</v>
      </c>
      <c r="G3" s="89">
        <f t="shared" si="1"/>
        <v>19231</v>
      </c>
      <c r="H3">
        <f t="shared" si="2"/>
        <v>16026</v>
      </c>
      <c r="I3" s="5">
        <v>19</v>
      </c>
      <c r="J3" s="5">
        <v>1905</v>
      </c>
      <c r="K3" s="5"/>
      <c r="L3" s="5"/>
      <c r="M3" s="5"/>
      <c r="N3" s="5">
        <v>54.46</v>
      </c>
      <c r="O3" s="114">
        <f>N3*10.764</f>
        <v>586.20744000000002</v>
      </c>
      <c r="P3" s="115">
        <f t="shared" ref="P3:P18" si="5">O3*1.1</f>
        <v>644.82818400000008</v>
      </c>
      <c r="Q3" s="115">
        <v>13000000</v>
      </c>
      <c r="R3" s="115">
        <f t="shared" si="3"/>
        <v>22176.450029361618</v>
      </c>
      <c r="S3" s="2">
        <f>Q3/P3</f>
        <v>20160.40911760147</v>
      </c>
      <c r="AD3" s="42"/>
    </row>
    <row r="4" spans="1:34" x14ac:dyDescent="0.25">
      <c r="B4" s="116">
        <v>800</v>
      </c>
      <c r="C4" s="5">
        <f t="shared" ref="C4:D4" si="6">B4*1.2</f>
        <v>960</v>
      </c>
      <c r="D4" s="115">
        <f t="shared" si="6"/>
        <v>1152</v>
      </c>
      <c r="E4" s="115">
        <v>18500000</v>
      </c>
      <c r="F4" s="115">
        <f t="shared" si="0"/>
        <v>23125</v>
      </c>
      <c r="G4" s="89">
        <f t="shared" si="1"/>
        <v>19271</v>
      </c>
      <c r="H4">
        <f t="shared" si="2"/>
        <v>16059</v>
      </c>
      <c r="I4">
        <v>12</v>
      </c>
      <c r="J4">
        <v>1204</v>
      </c>
      <c r="N4">
        <v>54.46</v>
      </c>
      <c r="O4" s="111">
        <f t="shared" ref="O4:O14" si="7">N4*10.764</f>
        <v>586.20744000000002</v>
      </c>
      <c r="P4" s="2">
        <f t="shared" si="5"/>
        <v>644.82818400000008</v>
      </c>
      <c r="Q4" s="2">
        <v>12000000</v>
      </c>
      <c r="R4" s="2">
        <f t="shared" si="3"/>
        <v>20470.569257872263</v>
      </c>
      <c r="S4" s="2">
        <f t="shared" ref="S4:S8" si="8">Q4/P4</f>
        <v>18609.608416247513</v>
      </c>
    </row>
    <row r="5" spans="1:34" x14ac:dyDescent="0.25">
      <c r="B5" s="82">
        <v>800</v>
      </c>
      <c r="C5">
        <f t="shared" ref="C5:D5" si="9">B5*1.2</f>
        <v>960</v>
      </c>
      <c r="D5" s="2">
        <f t="shared" si="9"/>
        <v>1152</v>
      </c>
      <c r="E5" s="2">
        <v>19000000</v>
      </c>
      <c r="F5" s="2">
        <f t="shared" si="0"/>
        <v>23750</v>
      </c>
      <c r="G5" s="89">
        <f t="shared" si="1"/>
        <v>19792</v>
      </c>
      <c r="H5">
        <f t="shared" si="2"/>
        <v>16493</v>
      </c>
      <c r="I5">
        <v>19</v>
      </c>
      <c r="J5">
        <v>1905</v>
      </c>
      <c r="N5">
        <v>54.46</v>
      </c>
      <c r="O5" s="111">
        <f t="shared" si="7"/>
        <v>586.20744000000002</v>
      </c>
      <c r="P5" s="2">
        <f t="shared" si="5"/>
        <v>644.82818400000008</v>
      </c>
      <c r="Q5" s="2">
        <v>13000000</v>
      </c>
      <c r="R5" s="2">
        <f t="shared" si="3"/>
        <v>22176.450029361618</v>
      </c>
      <c r="S5" s="2">
        <f t="shared" si="8"/>
        <v>20160.40911760147</v>
      </c>
    </row>
    <row r="6" spans="1:34" x14ac:dyDescent="0.25">
      <c r="C6">
        <f t="shared" ref="C6:D6" si="10">B6*1.2</f>
        <v>0</v>
      </c>
      <c r="D6" s="2">
        <f t="shared" si="10"/>
        <v>0</v>
      </c>
      <c r="E6" s="2"/>
      <c r="F6" s="2" t="e">
        <f t="shared" si="0"/>
        <v>#DIV/0!</v>
      </c>
      <c r="G6" s="89" t="e">
        <f t="shared" si="1"/>
        <v>#DIV/0!</v>
      </c>
      <c r="H6" t="e">
        <f t="shared" si="2"/>
        <v>#DIV/0!</v>
      </c>
      <c r="I6">
        <v>18</v>
      </c>
      <c r="J6">
        <v>1802</v>
      </c>
      <c r="O6" s="111">
        <f>P6/1.1</f>
        <v>629.09090909090901</v>
      </c>
      <c r="P6" s="2">
        <v>692</v>
      </c>
      <c r="Q6" s="2">
        <v>16000000</v>
      </c>
      <c r="R6" s="2">
        <f t="shared" si="3"/>
        <v>25433.526011560698</v>
      </c>
      <c r="S6" s="2">
        <f t="shared" si="8"/>
        <v>23121.387283236993</v>
      </c>
      <c r="AH6" t="s">
        <v>42</v>
      </c>
    </row>
    <row r="7" spans="1:34" x14ac:dyDescent="0.25">
      <c r="C7">
        <f t="shared" ref="C7:D7" si="11">B7*1.2</f>
        <v>0</v>
      </c>
      <c r="D7" s="2">
        <f t="shared" si="11"/>
        <v>0</v>
      </c>
      <c r="E7" s="2"/>
      <c r="F7" s="2" t="e">
        <f t="shared" si="0"/>
        <v>#DIV/0!</v>
      </c>
      <c r="G7" t="e">
        <f t="shared" si="1"/>
        <v>#DIV/0!</v>
      </c>
      <c r="H7" t="e">
        <f t="shared" si="2"/>
        <v>#DIV/0!</v>
      </c>
      <c r="I7" s="5">
        <v>4</v>
      </c>
      <c r="J7" s="5">
        <v>401</v>
      </c>
      <c r="K7" s="5"/>
      <c r="L7" s="5"/>
      <c r="M7" s="5"/>
      <c r="N7" s="5">
        <v>75.650000000000006</v>
      </c>
      <c r="O7" s="114">
        <f t="shared" si="7"/>
        <v>814.29660000000001</v>
      </c>
      <c r="P7" s="115">
        <f t="shared" si="5"/>
        <v>895.72626000000014</v>
      </c>
      <c r="Q7" s="115">
        <v>18900000</v>
      </c>
      <c r="R7" s="115">
        <f t="shared" si="3"/>
        <v>23210.216031848839</v>
      </c>
      <c r="S7" s="2">
        <f t="shared" si="8"/>
        <v>21100.196392589849</v>
      </c>
    </row>
    <row r="8" spans="1:34" x14ac:dyDescent="0.25">
      <c r="C8">
        <f t="shared" ref="C8:D8" si="12">B8*1.2</f>
        <v>0</v>
      </c>
      <c r="D8" s="2">
        <f t="shared" si="12"/>
        <v>0</v>
      </c>
      <c r="E8" s="2"/>
      <c r="F8" s="2" t="e">
        <f t="shared" si="0"/>
        <v>#DIV/0!</v>
      </c>
      <c r="G8" t="e">
        <f t="shared" si="1"/>
        <v>#DIV/0!</v>
      </c>
      <c r="H8" t="e">
        <f t="shared" si="2"/>
        <v>#DIV/0!</v>
      </c>
      <c r="O8" s="111">
        <f t="shared" si="7"/>
        <v>0</v>
      </c>
      <c r="P8" s="2">
        <f t="shared" si="5"/>
        <v>0</v>
      </c>
      <c r="Q8" s="2"/>
      <c r="R8" s="2" t="e">
        <f t="shared" si="3"/>
        <v>#DIV/0!</v>
      </c>
      <c r="S8" s="2" t="e">
        <f t="shared" si="8"/>
        <v>#DIV/0!</v>
      </c>
    </row>
    <row r="9" spans="1:34" x14ac:dyDescent="0.25">
      <c r="C9">
        <f t="shared" ref="C9:D9" si="13">B9*1.2</f>
        <v>0</v>
      </c>
      <c r="D9" s="2">
        <f t="shared" si="13"/>
        <v>0</v>
      </c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111">
        <f t="shared" si="7"/>
        <v>0</v>
      </c>
      <c r="P9" s="2">
        <f t="shared" si="5"/>
        <v>0</v>
      </c>
      <c r="Q9" s="2"/>
      <c r="R9" s="2" t="e">
        <f t="shared" si="3"/>
        <v>#DIV/0!</v>
      </c>
      <c r="S9" s="2"/>
    </row>
    <row r="10" spans="1:34" x14ac:dyDescent="0.25">
      <c r="D10" s="2"/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O10" s="111">
        <f t="shared" si="7"/>
        <v>0</v>
      </c>
      <c r="P10" s="2">
        <f t="shared" si="5"/>
        <v>0</v>
      </c>
      <c r="Q10" s="2"/>
      <c r="R10" s="2"/>
    </row>
    <row r="11" spans="1:34" ht="16.5" x14ac:dyDescent="0.3">
      <c r="D11" s="2"/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O11" s="111">
        <f t="shared" si="7"/>
        <v>0</v>
      </c>
      <c r="P11" s="2">
        <f t="shared" si="5"/>
        <v>0</v>
      </c>
      <c r="Q11" s="2"/>
      <c r="R11" s="2"/>
      <c r="U11" s="106"/>
      <c r="V11" s="31"/>
      <c r="W11" s="31"/>
      <c r="X11" s="31"/>
      <c r="Y11" s="31"/>
      <c r="Z11" s="31"/>
      <c r="AA11" s="31"/>
      <c r="AB11" s="31"/>
    </row>
    <row r="12" spans="1:34" ht="18.75" x14ac:dyDescent="0.25">
      <c r="D12" s="2"/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O12" s="111">
        <f t="shared" si="7"/>
        <v>0</v>
      </c>
      <c r="P12" s="2">
        <f t="shared" si="5"/>
        <v>0</v>
      </c>
      <c r="Q12" s="2"/>
      <c r="R12" s="2"/>
      <c r="U12" s="107"/>
    </row>
    <row r="13" spans="1:34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O13" s="111">
        <f t="shared" si="7"/>
        <v>0</v>
      </c>
      <c r="P13" s="2">
        <f t="shared" si="5"/>
        <v>0</v>
      </c>
      <c r="Q13" s="2"/>
      <c r="R13" s="2"/>
    </row>
    <row r="14" spans="1:34" x14ac:dyDescent="0.25">
      <c r="C14">
        <f t="shared" ref="C14" si="14">B14*1.1</f>
        <v>0</v>
      </c>
      <c r="D14">
        <f t="shared" ref="D14:D15" si="15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111">
        <f t="shared" si="7"/>
        <v>0</v>
      </c>
      <c r="P14" s="2">
        <f t="shared" si="5"/>
        <v>0</v>
      </c>
      <c r="Q14" s="112"/>
      <c r="R14" s="112"/>
      <c r="S14" s="3"/>
      <c r="T14" s="3"/>
      <c r="U14" s="3"/>
      <c r="V14" s="3"/>
      <c r="W14" s="3"/>
    </row>
    <row r="15" spans="1:34" x14ac:dyDescent="0.25">
      <c r="C15">
        <f t="shared" ref="C15" si="16">B15*1.2</f>
        <v>0</v>
      </c>
      <c r="D15">
        <f t="shared" si="15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2">
        <f t="shared" si="5"/>
        <v>0</v>
      </c>
      <c r="Q15" s="112"/>
      <c r="R15" s="112"/>
      <c r="S15" s="3"/>
      <c r="T15" s="3"/>
      <c r="U15" s="3"/>
      <c r="V15" s="3"/>
      <c r="W15" s="3"/>
    </row>
    <row r="16" spans="1:34" x14ac:dyDescent="0.25">
      <c r="C16">
        <f t="shared" ref="C16:C19" si="17">B16*1.2</f>
        <v>0</v>
      </c>
      <c r="D16">
        <f t="shared" ref="D16:D19" si="18">C16*1.2</f>
        <v>0</v>
      </c>
      <c r="E16" s="2"/>
      <c r="F16" t="e">
        <f t="shared" ref="F16:F19" si="19">ROUND((E16/B16),0)</f>
        <v>#DIV/0!</v>
      </c>
      <c r="G16" t="e">
        <f t="shared" ref="G16:G19" si="20">ROUND((E16/C16),0)</f>
        <v>#DIV/0!</v>
      </c>
      <c r="H16" t="e">
        <f t="shared" ref="H16:H19" si="21">ROUND((E16/D16),0)</f>
        <v>#DIV/0!</v>
      </c>
      <c r="O16" s="3"/>
      <c r="P16" s="2">
        <f t="shared" si="5"/>
        <v>0</v>
      </c>
      <c r="Q16" s="112"/>
      <c r="R16" s="112"/>
      <c r="S16" s="3"/>
      <c r="T16" s="3"/>
      <c r="U16" s="3"/>
      <c r="V16" s="3"/>
      <c r="W16" s="3"/>
    </row>
    <row r="17" spans="1:18" x14ac:dyDescent="0.25">
      <c r="C17">
        <f t="shared" si="17"/>
        <v>0</v>
      </c>
      <c r="D17">
        <f t="shared" si="18"/>
        <v>0</v>
      </c>
      <c r="E17" s="2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P17" s="2">
        <f t="shared" si="5"/>
        <v>0</v>
      </c>
      <c r="Q17" s="2"/>
      <c r="R17" s="2"/>
    </row>
    <row r="18" spans="1:18" x14ac:dyDescent="0.25">
      <c r="C18">
        <f t="shared" si="17"/>
        <v>0</v>
      </c>
      <c r="D18">
        <f t="shared" si="18"/>
        <v>0</v>
      </c>
      <c r="E18" s="2">
        <f t="shared" ref="E18:E19" si="22">Q18</f>
        <v>0</v>
      </c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>S18</f>
        <v>0</v>
      </c>
      <c r="J18">
        <f>T18</f>
        <v>0</v>
      </c>
      <c r="P18" s="2">
        <f t="shared" si="5"/>
        <v>0</v>
      </c>
      <c r="Q18" s="2"/>
      <c r="R18" s="2"/>
    </row>
    <row r="19" spans="1:18" x14ac:dyDescent="0.25">
      <c r="C19">
        <f t="shared" si="17"/>
        <v>0</v>
      </c>
      <c r="D19">
        <f t="shared" si="18"/>
        <v>0</v>
      </c>
      <c r="E19" s="2">
        <f t="shared" si="22"/>
        <v>0</v>
      </c>
      <c r="F19" t="e">
        <f t="shared" si="19"/>
        <v>#DIV/0!</v>
      </c>
      <c r="G19" t="e">
        <f t="shared" si="20"/>
        <v>#DIV/0!</v>
      </c>
      <c r="H19" t="e">
        <f t="shared" si="21"/>
        <v>#DIV/0!</v>
      </c>
      <c r="I19">
        <f>S19</f>
        <v>0</v>
      </c>
      <c r="J19">
        <f>T19</f>
        <v>0</v>
      </c>
      <c r="Q19" s="2"/>
      <c r="R19" s="2"/>
    </row>
    <row r="20" spans="1:18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8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A22" s="89"/>
      <c r="B22" s="89"/>
      <c r="C22" s="89"/>
      <c r="D22" s="89"/>
      <c r="E22" s="89"/>
      <c r="F22" s="104" t="s">
        <v>65</v>
      </c>
      <c r="G22" s="89"/>
      <c r="H22" s="89"/>
      <c r="I22" s="89"/>
      <c r="J22" s="89"/>
      <c r="K22" s="89"/>
      <c r="L22" s="89"/>
      <c r="M22" s="89"/>
    </row>
    <row r="23" spans="1:18" s="6" customFormat="1" x14ac:dyDescent="0.25">
      <c r="B23" s="89"/>
      <c r="C23" s="109"/>
      <c r="D23" s="109"/>
      <c r="E23" s="109"/>
      <c r="F23" s="105" t="s">
        <v>64</v>
      </c>
      <c r="G23" s="105">
        <v>394</v>
      </c>
      <c r="H23" s="89"/>
      <c r="I23" s="89">
        <f>G23*9500</f>
        <v>3743000</v>
      </c>
      <c r="J23" s="89"/>
      <c r="K23" s="89"/>
      <c r="L23" s="89"/>
      <c r="M23" s="89"/>
    </row>
    <row r="24" spans="1:18" s="6" customFormat="1" x14ac:dyDescent="0.25">
      <c r="B24" s="90"/>
      <c r="C24" s="90" t="s">
        <v>1</v>
      </c>
      <c r="D24" s="90">
        <v>7100000</v>
      </c>
      <c r="E24" s="90"/>
      <c r="F24" s="91" t="s">
        <v>61</v>
      </c>
      <c r="G24" s="91">
        <v>0</v>
      </c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1" t="s">
        <v>66</v>
      </c>
      <c r="G25" s="91">
        <v>0</v>
      </c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2" t="s">
        <v>67</v>
      </c>
      <c r="G26" s="92">
        <f>G23+G24+G25</f>
        <v>394</v>
      </c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60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61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0"/>
      <c r="D30" s="90"/>
      <c r="E30" s="90"/>
      <c r="F30" s="91" t="s">
        <v>59</v>
      </c>
      <c r="G30" s="91">
        <v>0</v>
      </c>
      <c r="H30" s="90"/>
      <c r="I30" s="90"/>
      <c r="J30" s="90"/>
      <c r="K30" s="90"/>
      <c r="L30" s="90"/>
      <c r="M30" s="90"/>
    </row>
    <row r="31" spans="1:18" s="6" customFormat="1" x14ac:dyDescent="0.25">
      <c r="B31" s="90"/>
      <c r="C31" s="93"/>
      <c r="D31" s="93"/>
      <c r="E31" s="90"/>
      <c r="F31" s="92" t="s">
        <v>62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</row>
    <row r="32" spans="1:18" s="6" customFormat="1" x14ac:dyDescent="0.25">
      <c r="B32" s="90"/>
      <c r="C32" s="93"/>
      <c r="D32" s="93"/>
      <c r="E32" s="90"/>
      <c r="F32" s="92" t="s">
        <v>63</v>
      </c>
      <c r="G32" s="91">
        <f>G31</f>
        <v>0</v>
      </c>
      <c r="H32" s="90" t="e">
        <f>G31/G32</f>
        <v>#DIV/0!</v>
      </c>
      <c r="I32" s="90" t="s">
        <v>43</v>
      </c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1" t="s">
        <v>40</v>
      </c>
      <c r="G33" s="91">
        <v>10000</v>
      </c>
      <c r="H33" s="90"/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41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19</v>
      </c>
      <c r="G35" s="92">
        <f>G34*90%</f>
        <v>3546000</v>
      </c>
      <c r="H35" s="90"/>
      <c r="I35" s="90"/>
      <c r="J35" s="90"/>
      <c r="K35" s="90"/>
      <c r="L35" s="90"/>
      <c r="M35" s="90"/>
    </row>
    <row r="36" spans="2:19" s="6" customFormat="1" x14ac:dyDescent="0.25">
      <c r="B36" s="90"/>
      <c r="C36" s="93"/>
      <c r="D36" s="93"/>
      <c r="E36" s="90"/>
      <c r="F36" s="92" t="s">
        <v>20</v>
      </c>
      <c r="G36" s="92">
        <f>G34*80%</f>
        <v>3152000</v>
      </c>
      <c r="H36" s="90"/>
      <c r="I36" s="90"/>
      <c r="J36" s="90"/>
      <c r="K36" s="90"/>
      <c r="L36" s="90"/>
      <c r="M36" s="90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</row>
    <row r="46" spans="2:19" x14ac:dyDescent="0.25">
      <c r="N46" s="6"/>
      <c r="O46" s="6"/>
      <c r="P46" s="6"/>
      <c r="Q46" s="6"/>
      <c r="R46" s="6"/>
      <c r="S46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6"/>
      <c r="P52" s="6"/>
      <c r="Q52" s="6"/>
      <c r="R52" s="6"/>
      <c r="S52" s="6"/>
    </row>
    <row r="53" spans="14:19" x14ac:dyDescent="0.25">
      <c r="N53" s="6"/>
      <c r="O53" s="43"/>
      <c r="P53" s="43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  <row r="56" spans="14:19" x14ac:dyDescent="0.25">
      <c r="N56" s="6"/>
      <c r="O56" s="6"/>
      <c r="P56" s="6"/>
      <c r="Q56" s="6"/>
      <c r="R56" s="6"/>
      <c r="S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>
      <selection activeCell="R21" sqref="R21"/>
    </sheetView>
  </sheetViews>
  <sheetFormatPr defaultRowHeight="15" x14ac:dyDescent="0.25"/>
  <sheetData>
    <row r="117" spans="6:13" x14ac:dyDescent="0.25">
      <c r="F117" s="121" t="s">
        <v>57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78" workbookViewId="0">
      <selection activeCell="A179" sqref="A1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Q8:U126"/>
  <sheetViews>
    <sheetView tabSelected="1" topLeftCell="A106" workbookViewId="0">
      <selection activeCell="V132" sqref="V132"/>
    </sheetView>
  </sheetViews>
  <sheetFormatPr defaultRowHeight="15" x14ac:dyDescent="0.25"/>
  <sheetData>
    <row r="8" spans="17:18" x14ac:dyDescent="0.25">
      <c r="Q8" t="s">
        <v>83</v>
      </c>
      <c r="R8">
        <v>2</v>
      </c>
    </row>
    <row r="36" spans="19:20" x14ac:dyDescent="0.25">
      <c r="S36" t="s">
        <v>83</v>
      </c>
      <c r="T36">
        <v>5</v>
      </c>
    </row>
    <row r="126" spans="20:21" x14ac:dyDescent="0.25">
      <c r="T126" s="101" t="s">
        <v>87</v>
      </c>
      <c r="U126" s="101" t="s">
        <v>88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2024-12-02T06:46:01Z</dcterms:modified>
</cp:coreProperties>
</file>