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45610F68-D548-4D6F-8605-0373FA739FD1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composite" sheetId="4" r:id="rId1"/>
    <sheet name="LB-considered for valuation" sheetId="8" r:id="rId2"/>
    <sheet name="working" sheetId="5" r:id="rId3"/>
    <sheet name="2001RR" sheetId="6" r:id="rId4"/>
    <sheet name="Option-1(L + B) (FSI-1)" sheetId="11" r:id="rId5"/>
    <sheet name="Option-2(L + B)(FSI-2.5)" sheetId="9" r:id="rId6"/>
    <sheet name="Option-1 (2)" sheetId="10" r:id="rId7"/>
  </sheets>
  <calcPr calcId="191029"/>
</workbook>
</file>

<file path=xl/calcChain.xml><?xml version="1.0" encoding="utf-8"?>
<calcChain xmlns="http://schemas.openxmlformats.org/spreadsheetml/2006/main">
  <c r="G16" i="8" l="1"/>
  <c r="F14" i="8"/>
  <c r="M9" i="8"/>
  <c r="H9" i="8"/>
  <c r="I9" i="8" s="1"/>
  <c r="J9" i="8" s="1"/>
  <c r="K9" i="8" s="1"/>
  <c r="L9" i="8" s="1"/>
  <c r="M8" i="8"/>
  <c r="H8" i="8"/>
  <c r="I8" i="8" s="1"/>
  <c r="J8" i="8" s="1"/>
  <c r="K8" i="8" s="1"/>
  <c r="L8" i="8" s="1"/>
  <c r="N9" i="8" l="1"/>
  <c r="N8" i="8"/>
  <c r="J169" i="5"/>
  <c r="J166" i="5"/>
  <c r="J163" i="5"/>
  <c r="J162" i="5"/>
  <c r="V164" i="5"/>
  <c r="V163" i="5"/>
  <c r="C12" i="11" l="1"/>
  <c r="D78" i="11"/>
  <c r="C78" i="11"/>
  <c r="B76" i="11"/>
  <c r="D75" i="11"/>
  <c r="D77" i="11" s="1"/>
  <c r="C75" i="11"/>
  <c r="C77" i="11" s="1"/>
  <c r="B75" i="11"/>
  <c r="B77" i="11" s="1"/>
  <c r="B67" i="11"/>
  <c r="D65" i="11"/>
  <c r="C65" i="11"/>
  <c r="B63" i="11"/>
  <c r="B64" i="11" s="1"/>
  <c r="D62" i="11"/>
  <c r="D64" i="11" s="1"/>
  <c r="C62" i="11"/>
  <c r="C64" i="11" s="1"/>
  <c r="B62" i="11"/>
  <c r="D52" i="11"/>
  <c r="C52" i="11"/>
  <c r="D51" i="11"/>
  <c r="B50" i="11"/>
  <c r="D49" i="11"/>
  <c r="C49" i="11"/>
  <c r="C51" i="11" s="1"/>
  <c r="B49" i="11"/>
  <c r="B51" i="11" s="1"/>
  <c r="G40" i="11"/>
  <c r="D39" i="11"/>
  <c r="C39" i="11"/>
  <c r="C38" i="11"/>
  <c r="B38" i="11"/>
  <c r="B37" i="11"/>
  <c r="D36" i="11"/>
  <c r="D38" i="11" s="1"/>
  <c r="C36" i="11"/>
  <c r="B36" i="11"/>
  <c r="K35" i="11"/>
  <c r="E35" i="11"/>
  <c r="C28" i="11"/>
  <c r="C27" i="11"/>
  <c r="C23" i="11"/>
  <c r="C24" i="11" s="1"/>
  <c r="C21" i="11"/>
  <c r="C16" i="11"/>
  <c r="C16" i="10"/>
  <c r="D78" i="10"/>
  <c r="C78" i="10"/>
  <c r="B77" i="10"/>
  <c r="B76" i="10"/>
  <c r="D75" i="10"/>
  <c r="D77" i="10" s="1"/>
  <c r="C75" i="10"/>
  <c r="C77" i="10" s="1"/>
  <c r="B75" i="10"/>
  <c r="B67" i="10"/>
  <c r="D65" i="10"/>
  <c r="C65" i="10"/>
  <c r="B63" i="10"/>
  <c r="D62" i="10"/>
  <c r="D64" i="10" s="1"/>
  <c r="C62" i="10"/>
  <c r="C64" i="10" s="1"/>
  <c r="B62" i="10"/>
  <c r="B64" i="10" s="1"/>
  <c r="D52" i="10"/>
  <c r="C52" i="10"/>
  <c r="B51" i="10"/>
  <c r="B50" i="10"/>
  <c r="D49" i="10"/>
  <c r="D51" i="10" s="1"/>
  <c r="C49" i="10"/>
  <c r="C51" i="10" s="1"/>
  <c r="B49" i="10"/>
  <c r="G40" i="10"/>
  <c r="D39" i="10"/>
  <c r="C39" i="10"/>
  <c r="C38" i="10"/>
  <c r="B37" i="10"/>
  <c r="D36" i="10"/>
  <c r="D38" i="10" s="1"/>
  <c r="C36" i="10"/>
  <c r="B36" i="10"/>
  <c r="B38" i="10" s="1"/>
  <c r="E35" i="10"/>
  <c r="C28" i="10"/>
  <c r="C27" i="10"/>
  <c r="C21" i="10"/>
  <c r="C23" i="10" s="1"/>
  <c r="C24" i="10" s="1"/>
  <c r="K35" i="10"/>
  <c r="D67" i="9"/>
  <c r="C67" i="9"/>
  <c r="D80" i="9"/>
  <c r="C80" i="9"/>
  <c r="K48" i="9"/>
  <c r="K45" i="9"/>
  <c r="L45" i="9"/>
  <c r="L46" i="9" s="1"/>
  <c r="K35" i="9"/>
  <c r="L35" i="9" s="1"/>
  <c r="L36" i="9" s="1"/>
  <c r="K37" i="9"/>
  <c r="K38" i="9" s="1"/>
  <c r="K40" i="9" s="1"/>
  <c r="B80" i="9"/>
  <c r="D78" i="9"/>
  <c r="C78" i="9"/>
  <c r="B76" i="9"/>
  <c r="D75" i="9"/>
  <c r="D77" i="9" s="1"/>
  <c r="C75" i="9"/>
  <c r="C77" i="9" s="1"/>
  <c r="B75" i="9"/>
  <c r="B77" i="9" s="1"/>
  <c r="B67" i="9"/>
  <c r="D65" i="9"/>
  <c r="C65" i="9"/>
  <c r="B63" i="9"/>
  <c r="D62" i="9"/>
  <c r="D64" i="9" s="1"/>
  <c r="D68" i="9" s="1"/>
  <c r="D70" i="9" s="1"/>
  <c r="C62" i="9"/>
  <c r="C64" i="9" s="1"/>
  <c r="B62" i="9"/>
  <c r="B64" i="9" s="1"/>
  <c r="D55" i="9"/>
  <c r="D57" i="9" s="1"/>
  <c r="C55" i="9"/>
  <c r="C57" i="9" s="1"/>
  <c r="D44" i="9"/>
  <c r="C44" i="9"/>
  <c r="D42" i="9"/>
  <c r="C42" i="9"/>
  <c r="D52" i="9"/>
  <c r="C52" i="9"/>
  <c r="B50" i="9"/>
  <c r="D49" i="9"/>
  <c r="D51" i="9" s="1"/>
  <c r="C49" i="9"/>
  <c r="C51" i="9" s="1"/>
  <c r="B49" i="9"/>
  <c r="B51" i="9" s="1"/>
  <c r="D39" i="9"/>
  <c r="C39" i="9"/>
  <c r="G40" i="9"/>
  <c r="E35" i="9"/>
  <c r="D38" i="9"/>
  <c r="C36" i="9"/>
  <c r="C38" i="9" s="1"/>
  <c r="D36" i="9"/>
  <c r="B37" i="9"/>
  <c r="B38" i="9" s="1"/>
  <c r="B36" i="9"/>
  <c r="C28" i="9"/>
  <c r="C26" i="4"/>
  <c r="C23" i="9"/>
  <c r="C24" i="9" s="1"/>
  <c r="C26" i="9" s="1"/>
  <c r="E23" i="4" s="1"/>
  <c r="C21" i="9"/>
  <c r="C16" i="9"/>
  <c r="K45" i="11" l="1"/>
  <c r="C26" i="11"/>
  <c r="C29" i="11" s="1"/>
  <c r="L35" i="11"/>
  <c r="L36" i="11" s="1"/>
  <c r="K37" i="11"/>
  <c r="K38" i="11" s="1"/>
  <c r="K40" i="11" s="1"/>
  <c r="C80" i="11" s="1"/>
  <c r="C81" i="11" s="1"/>
  <c r="C83" i="11" s="1"/>
  <c r="K45" i="10"/>
  <c r="C26" i="10"/>
  <c r="C29" i="10" s="1"/>
  <c r="K37" i="10"/>
  <c r="K38" i="10" s="1"/>
  <c r="K40" i="10" s="1"/>
  <c r="C80" i="10" s="1"/>
  <c r="C81" i="10" s="1"/>
  <c r="C83" i="10" s="1"/>
  <c r="L35" i="10"/>
  <c r="L36" i="10" s="1"/>
  <c r="D81" i="9"/>
  <c r="D83" i="9" s="1"/>
  <c r="K47" i="9"/>
  <c r="K50" i="9" s="1"/>
  <c r="C68" i="9"/>
  <c r="C70" i="9" s="1"/>
  <c r="C81" i="9"/>
  <c r="C83" i="9" s="1"/>
  <c r="B54" i="11" l="1"/>
  <c r="C30" i="11"/>
  <c r="B41" i="11" s="1"/>
  <c r="C67" i="11"/>
  <c r="C68" i="11" s="1"/>
  <c r="C70" i="11" s="1"/>
  <c r="K47" i="11"/>
  <c r="K48" i="11" s="1"/>
  <c r="K50" i="11" s="1"/>
  <c r="D67" i="11" s="1"/>
  <c r="D68" i="11" s="1"/>
  <c r="D70" i="11" s="1"/>
  <c r="L45" i="11"/>
  <c r="L46" i="11" s="1"/>
  <c r="C67" i="10"/>
  <c r="C68" i="10" s="1"/>
  <c r="C70" i="10" s="1"/>
  <c r="L45" i="10"/>
  <c r="L46" i="10" s="1"/>
  <c r="K47" i="10"/>
  <c r="K48" i="10" s="1"/>
  <c r="K50" i="10" s="1"/>
  <c r="D80" i="10" s="1"/>
  <c r="D81" i="10" s="1"/>
  <c r="D83" i="10" s="1"/>
  <c r="B54" i="10"/>
  <c r="C30" i="10"/>
  <c r="B41" i="10" s="1"/>
  <c r="C19" i="4"/>
  <c r="H8" i="4"/>
  <c r="D80" i="11" l="1"/>
  <c r="D81" i="11" s="1"/>
  <c r="D83" i="11" s="1"/>
  <c r="D41" i="11"/>
  <c r="D42" i="11" s="1"/>
  <c r="D44" i="11" s="1"/>
  <c r="C41" i="11"/>
  <c r="C42" i="11" s="1"/>
  <c r="C44" i="11" s="1"/>
  <c r="D54" i="11"/>
  <c r="D55" i="11" s="1"/>
  <c r="D57" i="11" s="1"/>
  <c r="C54" i="11"/>
  <c r="C55" i="11" s="1"/>
  <c r="C41" i="10"/>
  <c r="C42" i="10" s="1"/>
  <c r="C44" i="10" s="1"/>
  <c r="D41" i="10"/>
  <c r="D42" i="10" s="1"/>
  <c r="D44" i="10" s="1"/>
  <c r="D67" i="10"/>
  <c r="D68" i="10" s="1"/>
  <c r="D70" i="10" s="1"/>
  <c r="D54" i="10"/>
  <c r="D55" i="10" s="1"/>
  <c r="D57" i="10" s="1"/>
  <c r="C54" i="10"/>
  <c r="C55" i="10" s="1"/>
  <c r="M7" i="8"/>
  <c r="H7" i="8"/>
  <c r="I7" i="8" s="1"/>
  <c r="J7" i="8" s="1"/>
  <c r="K7" i="8" s="1"/>
  <c r="L7" i="8" s="1"/>
  <c r="C4" i="8"/>
  <c r="E27" i="8" l="1"/>
  <c r="D14" i="8"/>
  <c r="N7" i="8"/>
  <c r="C57" i="11"/>
  <c r="B80" i="11"/>
  <c r="C57" i="10"/>
  <c r="B80" i="10"/>
  <c r="M10" i="8"/>
  <c r="L10" i="8"/>
  <c r="E36" i="8" s="1"/>
  <c r="F36" i="8" l="1"/>
  <c r="F37" i="8" s="1"/>
  <c r="F15" i="8" s="1"/>
  <c r="E38" i="8"/>
  <c r="E29" i="8"/>
  <c r="E30" i="8" s="1"/>
  <c r="E32" i="8" s="1"/>
  <c r="E14" i="8" s="1"/>
  <c r="G14" i="8" s="1"/>
  <c r="F27" i="8"/>
  <c r="F28" i="8" s="1"/>
  <c r="D15" i="8"/>
  <c r="C12" i="4"/>
  <c r="E39" i="8" l="1"/>
  <c r="E41" i="8" s="1"/>
  <c r="E15" i="8" s="1"/>
  <c r="G15" i="8" s="1"/>
  <c r="C21" i="4"/>
  <c r="U34" i="4" l="1"/>
  <c r="C14" i="4" l="1"/>
  <c r="C6" i="4"/>
  <c r="C15" i="4" l="1"/>
  <c r="D6" i="4"/>
  <c r="C17" i="4"/>
  <c r="C23" i="4" s="1"/>
  <c r="E25" i="4" l="1"/>
  <c r="E26" i="4" s="1"/>
  <c r="F23" i="4"/>
  <c r="F24" i="4" s="1"/>
  <c r="E28" i="4" l="1"/>
  <c r="C25" i="4" l="1"/>
  <c r="C28" i="4" s="1"/>
  <c r="C32" i="4" s="1"/>
  <c r="C27" i="9"/>
  <c r="C29" i="9" s="1"/>
  <c r="C30" i="9" l="1"/>
  <c r="B41" i="9" s="1"/>
  <c r="B54" i="9"/>
  <c r="D41" i="9"/>
  <c r="C41" i="9"/>
  <c r="C33" i="4"/>
  <c r="D54" i="9" l="1"/>
  <c r="C54" i="9"/>
</calcChain>
</file>

<file path=xl/sharedStrings.xml><?xml version="1.0" encoding="utf-8"?>
<sst xmlns="http://schemas.openxmlformats.org/spreadsheetml/2006/main" count="447" uniqueCount="126">
  <si>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</si>
  <si>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</si>
  <si>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</si>
  <si>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</si>
  <si>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</si>
  <si>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</si>
  <si>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</si>
  <si>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</si>
  <si>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</si>
  <si>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</si>
  <si>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</si>
  <si>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</si>
  <si>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</si>
  <si>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</si>
  <si>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</si>
  <si>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</si>
  <si>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</si>
  <si>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</si>
  <si>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</si>
  <si>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</si>
  <si>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</si>
  <si>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</si>
  <si>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</si>
  <si>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</si>
  <si>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</si>
  <si>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</si>
  <si>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</si>
  <si>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</si>
  <si>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</si>
  <si>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</si>
  <si>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site infor</t>
  </si>
  <si>
    <t>above 10 lakhs</t>
  </si>
  <si>
    <t>Cost Inflation Index - 2001</t>
  </si>
  <si>
    <t xml:space="preserve">{(100-10) x20}/70.00 </t>
  </si>
  <si>
    <t>Land Value</t>
  </si>
  <si>
    <t>land area</t>
  </si>
  <si>
    <t xml:space="preserve"> Value</t>
  </si>
  <si>
    <t>Structure Value</t>
  </si>
  <si>
    <t>Items</t>
  </si>
  <si>
    <t>Built up Area In             Sq. M.</t>
  </si>
  <si>
    <t>Year Of Const.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</si>
  <si>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</si>
  <si>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</si>
  <si>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</si>
  <si>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</si>
  <si>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</si>
  <si>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</si>
  <si>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</si>
  <si>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Final Depreciated Value to be considered</t>
  </si>
  <si>
    <t>Insurance Value / Full Value</t>
  </si>
  <si>
    <t>Mr. Vikas Bhalla</t>
  </si>
  <si>
    <t>4-R</t>
  </si>
  <si>
    <t>AddL +25%</t>
  </si>
  <si>
    <t>stamp duty - 8%</t>
  </si>
  <si>
    <t>whichever is less</t>
  </si>
  <si>
    <t>Cost Inflation Index -  2024-2025</t>
  </si>
  <si>
    <t>Sale Deed  - 11.10.2024</t>
  </si>
  <si>
    <t>Property Status</t>
  </si>
  <si>
    <t>Capital Asset</t>
  </si>
  <si>
    <t>Acquisition Year</t>
  </si>
  <si>
    <t>1986 (Matasons)</t>
  </si>
  <si>
    <t>Transfer through Will to Neelam</t>
  </si>
  <si>
    <t>Sept. 2023</t>
  </si>
  <si>
    <t>Transfer structure through Gift to Vikas</t>
  </si>
  <si>
    <t>Aug. 2024</t>
  </si>
  <si>
    <t>Sale Year</t>
  </si>
  <si>
    <t>Oct. 2024</t>
  </si>
  <si>
    <t>Holding period</t>
  </si>
  <si>
    <t>1986 - 2024</t>
  </si>
  <si>
    <t>Pemissible Holding Period</t>
  </si>
  <si>
    <t>More than 24 months</t>
  </si>
  <si>
    <t>Capital Asset Status</t>
  </si>
  <si>
    <t>Long Term Capital Gain</t>
  </si>
  <si>
    <t>Whether Index permitted for Long Term Capital Gain</t>
  </si>
  <si>
    <t>Yes</t>
  </si>
  <si>
    <t xml:space="preserve">Permitted inedxation </t>
  </si>
  <si>
    <t>New CII for 2001</t>
  </si>
  <si>
    <t xml:space="preserve">Land Area </t>
  </si>
  <si>
    <t>Strucutre area</t>
  </si>
  <si>
    <t xml:space="preserve">Year of Construction </t>
  </si>
  <si>
    <t>Land rate as on 2001</t>
  </si>
  <si>
    <t>Land Value as on 2001</t>
  </si>
  <si>
    <t xml:space="preserve">cost of Construction </t>
  </si>
  <si>
    <t xml:space="preserve">Depreciation </t>
  </si>
  <si>
    <t>Depreciation value</t>
  </si>
  <si>
    <t>Total Value of Land and Building as on 2001</t>
  </si>
  <si>
    <t xml:space="preserve">Index Cost of Acquisition </t>
  </si>
  <si>
    <t xml:space="preserve">Registration </t>
  </si>
  <si>
    <t xml:space="preserve">Cost of Acquisition </t>
  </si>
  <si>
    <t>Abstract</t>
  </si>
  <si>
    <t xml:space="preserve">Sale Consideration </t>
  </si>
  <si>
    <t>Less: Brokerage 1%</t>
  </si>
  <si>
    <t>Less: Legal Charges</t>
  </si>
  <si>
    <t xml:space="preserve">Neelam </t>
  </si>
  <si>
    <t>Vikas</t>
  </si>
  <si>
    <t>Net Value</t>
  </si>
  <si>
    <t>Share of Neelam</t>
  </si>
  <si>
    <t>Share of Vikas</t>
  </si>
  <si>
    <t>Option -1</t>
  </si>
  <si>
    <t>Capital Gain as per old regime Including cess</t>
  </si>
  <si>
    <t>Capital Gain</t>
  </si>
  <si>
    <t>Option -2</t>
  </si>
  <si>
    <t>Long Term Capital gain</t>
  </si>
  <si>
    <t>Capital Gain as per New regime Including cess</t>
  </si>
  <si>
    <t>Option -1 a</t>
  </si>
  <si>
    <t>above 6.5 lac</t>
  </si>
  <si>
    <t>Land</t>
  </si>
  <si>
    <t>25.01.1990</t>
  </si>
  <si>
    <t>ca</t>
  </si>
  <si>
    <t>bua</t>
  </si>
  <si>
    <t>sq.m.</t>
  </si>
  <si>
    <t>29.01.2008</t>
  </si>
  <si>
    <t>sqm</t>
  </si>
  <si>
    <t>total bua</t>
  </si>
  <si>
    <t>net</t>
  </si>
  <si>
    <t>tenant</t>
  </si>
  <si>
    <t>owner</t>
  </si>
  <si>
    <t>Tenant (Acquired in 2008)</t>
  </si>
  <si>
    <t>Tenant (Acquired in 1990)</t>
  </si>
  <si>
    <t>Owner</t>
  </si>
  <si>
    <t xml:space="preserve">Land </t>
  </si>
  <si>
    <t>Structure</t>
  </si>
  <si>
    <t>2.50 to 5 lakhs</t>
  </si>
  <si>
    <t>stamp duty - 3%</t>
  </si>
  <si>
    <t>TOTAL</t>
  </si>
  <si>
    <t xml:space="preserve">Cost of Acquistion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</si>
</sst>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u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0"/>
      <color theme="1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127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9" fillId="0" borderId="2" xfId="0" applyFont="1" applyBorder="1" applyAlignment="1">
      <alignment wrapText="1"/>
    </xf>
    <xf numFmtId="0" fontId="8" fillId="0" borderId="2" xfId="0" applyFont="1" applyBorder="1"/>
    <xf numFmtId="0" fontId="10" fillId="0" borderId="2" xfId="0" applyFont="1" applyBorder="1"/>
    <xf numFmtId="0" fontId="11" fillId="0" borderId="2" xfId="0" applyFont="1" applyBorder="1"/>
    <xf numFmtId="0" fontId="8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top" wrapText="1" shrinkToFit="1"/>
    </xf>
    <xf numFmtId="0" fontId="11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4" fontId="13" fillId="0" borderId="2" xfId="0" applyNumberFormat="1" applyFont="1" applyBorder="1" applyAlignment="1">
      <alignment vertical="top"/>
    </xf>
    <xf numFmtId="4" fontId="11" fillId="0" borderId="2" xfId="0" applyNumberFormat="1" applyFont="1" applyBorder="1" applyAlignment="1">
      <alignment vertical="top"/>
    </xf>
    <xf numFmtId="0" fontId="13" fillId="0" borderId="2" xfId="0" applyFont="1" applyBorder="1"/>
    <xf numFmtId="0" fontId="11" fillId="0" borderId="2" xfId="0" applyFont="1" applyBorder="1" applyAlignment="1">
      <alignment horizontal="center" wrapText="1"/>
    </xf>
    <xf numFmtId="4" fontId="11" fillId="0" borderId="2" xfId="0" applyNumberFormat="1" applyFont="1" applyBorder="1"/>
    <xf numFmtId="0" fontId="14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top" wrapText="1" shrinkToFit="1"/>
    </xf>
    <xf numFmtId="0" fontId="16" fillId="0" borderId="2" xfId="0" applyFont="1" applyBorder="1" applyAlignment="1">
      <alignment horizontal="center" vertical="top" wrapText="1" shrinkToFit="1"/>
    </xf>
    <xf numFmtId="0" fontId="17" fillId="0" borderId="2" xfId="0" applyFont="1" applyBorder="1" applyAlignment="1">
      <alignment horizontal="center" vertical="top" wrapText="1" shrinkToFit="1"/>
    </xf>
    <xf numFmtId="0" fontId="14" fillId="0" borderId="2" xfId="0" applyFont="1" applyBorder="1" applyAlignment="1">
      <alignment horizontal="center"/>
    </xf>
    <xf numFmtId="0" fontId="18" fillId="0" borderId="2" xfId="0" applyFont="1" applyBorder="1"/>
    <xf numFmtId="0" fontId="8" fillId="0" borderId="2" xfId="0" applyFont="1" applyBorder="1" applyAlignment="1">
      <alignment horizontal="right" vertical="center" wrapText="1"/>
    </xf>
    <xf numFmtId="0" fontId="13" fillId="0" borderId="2" xfId="0" applyFont="1" applyBorder="1" applyAlignment="1">
      <alignment horizontal="right" vertical="center" wrapText="1"/>
    </xf>
    <xf numFmtId="4" fontId="19" fillId="0" borderId="2" xfId="0" applyNumberFormat="1" applyFont="1" applyBorder="1" applyAlignment="1">
      <alignment horizontal="right" wrapText="1"/>
    </xf>
    <xf numFmtId="0" fontId="11" fillId="0" borderId="2" xfId="0" applyFont="1" applyBorder="1" applyAlignment="1">
      <alignment vertical="top"/>
    </xf>
    <xf numFmtId="0" fontId="8" fillId="0" borderId="0" xfId="0" applyFont="1" applyAlignment="1">
      <alignment vertical="top"/>
    </xf>
    <xf numFmtId="4" fontId="20" fillId="0" borderId="2" xfId="0" applyNumberFormat="1" applyFont="1" applyBorder="1" applyAlignment="1">
      <alignment vertical="top"/>
    </xf>
    <xf numFmtId="0" fontId="18" fillId="0" borderId="0" xfId="0" applyFont="1" applyBorder="1"/>
    <xf numFmtId="0" fontId="8" fillId="0" borderId="0" xfId="0" applyFont="1" applyBorder="1" applyAlignment="1">
      <alignment horizontal="right" vertical="center" wrapText="1"/>
    </xf>
    <xf numFmtId="0" fontId="13" fillId="0" borderId="0" xfId="0" applyFont="1" applyBorder="1" applyAlignment="1">
      <alignment horizontal="right" vertical="center" wrapText="1"/>
    </xf>
    <xf numFmtId="4" fontId="19" fillId="0" borderId="0" xfId="0" applyNumberFormat="1" applyFont="1" applyBorder="1" applyAlignment="1">
      <alignment horizontal="right" wrapText="1"/>
    </xf>
    <xf numFmtId="0" fontId="11" fillId="0" borderId="0" xfId="0" applyFont="1" applyBorder="1" applyAlignment="1">
      <alignment vertical="top"/>
    </xf>
    <xf numFmtId="4" fontId="11" fillId="0" borderId="0" xfId="0" applyNumberFormat="1" applyFont="1" applyBorder="1" applyAlignment="1">
      <alignment vertical="top"/>
    </xf>
    <xf numFmtId="0" fontId="20" fillId="0" borderId="0" xfId="0" applyFont="1" applyAlignment="1">
      <alignment horizontal="center" vertical="top"/>
    </xf>
    <xf numFmtId="0" fontId="11" fillId="0" borderId="0" xfId="0" applyFont="1"/>
    <xf numFmtId="0" fontId="20" fillId="0" borderId="0" xfId="0" applyFont="1"/>
    <xf numFmtId="0" fontId="13" fillId="0" borderId="0" xfId="0" applyFont="1" applyBorder="1"/>
    <xf numFmtId="0" fontId="8" fillId="0" borderId="0" xfId="0" applyFont="1" applyAlignment="1">
      <alignment wrapText="1"/>
    </xf>
    <xf numFmtId="4" fontId="20" fillId="0" borderId="0" xfId="0" applyNumberFormat="1" applyFont="1"/>
    <xf numFmtId="4" fontId="8" fillId="0" borderId="0" xfId="0" applyNumberFormat="1" applyFont="1"/>
    <xf numFmtId="0" fontId="8" fillId="0" borderId="0" xfId="0" applyFont="1" applyBorder="1"/>
    <xf numFmtId="0" fontId="11" fillId="0" borderId="0" xfId="0" applyFont="1" applyBorder="1"/>
    <xf numFmtId="4" fontId="8" fillId="0" borderId="0" xfId="0" applyNumberFormat="1" applyFont="1" applyBorder="1"/>
    <xf numFmtId="2" fontId="11" fillId="0" borderId="0" xfId="0" applyNumberFormat="1" applyFont="1" applyBorder="1"/>
    <xf numFmtId="0" fontId="8" fillId="0" borderId="0" xfId="0" applyFont="1" applyBorder="1" applyAlignment="1">
      <alignment horizontal="right" vertical="top" wrapText="1"/>
    </xf>
    <xf numFmtId="0" fontId="1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wrapText="1"/>
    </xf>
    <xf numFmtId="0" fontId="11" fillId="0" borderId="0" xfId="0" applyFont="1" applyBorder="1" applyAlignment="1">
      <alignment horizontal="right" vertical="top" wrapText="1"/>
    </xf>
    <xf numFmtId="0" fontId="8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right" vertical="top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21" fillId="0" borderId="0" xfId="0" applyFont="1" applyAlignment="1">
      <alignment horizontal="center" vertical="top"/>
    </xf>
    <xf numFmtId="4" fontId="13" fillId="0" borderId="0" xfId="0" applyNumberFormat="1" applyFont="1"/>
    <xf numFmtId="0" fontId="21" fillId="0" borderId="0" xfId="0" applyFont="1" applyAlignment="1">
      <alignment wrapText="1"/>
    </xf>
    <xf numFmtId="4" fontId="21" fillId="0" borderId="0" xfId="0" applyNumberFormat="1" applyFont="1"/>
    <xf numFmtId="2" fontId="13" fillId="0" borderId="0" xfId="0" applyNumberFormat="1" applyFont="1" applyBorder="1"/>
    <xf numFmtId="0" fontId="13" fillId="0" borderId="0" xfId="0" applyFont="1"/>
    <xf numFmtId="4" fontId="21" fillId="0" borderId="0" xfId="0" applyNumberFormat="1" applyFont="1" applyBorder="1"/>
    <xf numFmtId="4" fontId="0" fillId="0" borderId="0" xfId="0" applyNumberFormat="1"/>
    <xf numFmtId="0" fontId="2" fillId="0" borderId="0" xfId="0" applyFont="1"/>
    <xf numFmtId="0" fontId="3" fillId="0" borderId="0" xfId="0" applyFont="1"/>
    <xf numFmtId="9" fontId="0" fillId="0" borderId="0" xfId="0" applyNumberFormat="1"/>
    <xf numFmtId="0" fontId="0" fillId="0" borderId="0" xfId="0" applyFont="1"/>
    <xf numFmtId="43" fontId="0" fillId="0" borderId="0" xfId="0" applyNumberFormat="1" applyFont="1"/>
    <xf numFmtId="10" fontId="0" fillId="0" borderId="0" xfId="1" applyNumberFormat="1" applyFont="1"/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10" fillId="0" borderId="0" xfId="0" applyFont="1" applyBorder="1"/>
    <xf numFmtId="4" fontId="13" fillId="0" borderId="0" xfId="0" applyNumberFormat="1" applyFont="1" applyBorder="1"/>
    <xf numFmtId="0" fontId="21" fillId="0" borderId="0" xfId="0" applyFont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38</xdr:row>
      <xdr:rowOff>85725</xdr:rowOff>
    </xdr:from>
    <xdr:to>
      <xdr:col>8</xdr:col>
      <xdr:colOff>210630</xdr:colOff>
      <xdr:row>44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813F14-5CD8-43DD-819C-A4B2DC0D1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3725" y="7715250"/>
          <a:ext cx="6878130" cy="1114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180975</xdr:rowOff>
    </xdr:from>
    <xdr:to>
      <xdr:col>13</xdr:col>
      <xdr:colOff>115421</xdr:colOff>
      <xdr:row>36</xdr:row>
      <xdr:rowOff>162880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6DB9C3-52CF-4225-9493-F44F5345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80975"/>
          <a:ext cx="8030696" cy="6839905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0</xdr:row>
      <xdr:rowOff>0</xdr:rowOff>
    </xdr:from>
    <xdr:to>
      <xdr:col>27</xdr:col>
      <xdr:colOff>144038</xdr:colOff>
      <xdr:row>23</xdr:row>
      <xdr:rowOff>38717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C52E7D-629C-4690-9D4A-96BD5751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7700" y="0"/>
          <a:ext cx="8335538" cy="4420217"/>
        </a:xfrm>
        <a:prstGeom prst="rect">
          <a:avLst/>
        </a:prstGeom>
      </xdr:spPr>
    </xdr:pic>
    <xdr:clientData/>
  </xdr:twoCellAnchor>
  <xdr:twoCellAnchor editAs="oneCell">
    <xdr:from>
      <xdr:col>13</xdr:col>
      <xdr:colOff>542925</xdr:colOff>
      <xdr:row>25</xdr:row>
      <xdr:rowOff>95250</xdr:rowOff>
    </xdr:from>
    <xdr:to>
      <xdr:col>28</xdr:col>
      <xdr:colOff>153622</xdr:colOff>
      <xdr:row>45</xdr:row>
      <xdr:rowOff>38624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F906BE-5F48-41A1-BF69-B72DB963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67725" y="4857750"/>
          <a:ext cx="8754697" cy="375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171450</xdr:rowOff>
    </xdr:from>
    <xdr:to>
      <xdr:col>13</xdr:col>
      <xdr:colOff>66675</xdr:colOff>
      <xdr:row>83</xdr:row>
      <xdr:rowOff>125041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F1DE9D-F2D6-44B7-A6DB-A57D57B38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219950"/>
          <a:ext cx="7991475" cy="8716591"/>
        </a:xfrm>
        <a:prstGeom prst="rect">
          <a:avLst/>
        </a:prstGeom>
      </xdr:spPr>
    </xdr:pic>
    <xdr:clientData/>
  </xdr:twoCellAnchor>
  <xdr:twoCellAnchor editAs="oneCell">
    <xdr:from>
      <xdr:col>14</xdr:col>
      <xdr:colOff>19049</xdr:colOff>
      <xdr:row>45</xdr:row>
      <xdr:rowOff>142875</xdr:rowOff>
    </xdr:from>
    <xdr:to>
      <xdr:col>27</xdr:col>
      <xdr:colOff>600074</xdr:colOff>
      <xdr:row>68</xdr:row>
      <xdr:rowOff>124434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48123-1825-42DC-AF0C-6859FFD50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53449" y="8715375"/>
          <a:ext cx="8505825" cy="4363059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600074</xdr:colOff>
      <xdr:row>69</xdr:row>
      <xdr:rowOff>28575</xdr:rowOff>
    </xdr:from>
    <xdr:to>
      <xdr:col>28</xdr:col>
      <xdr:colOff>380999</xdr:colOff>
      <xdr:row>106</xdr:row>
      <xdr:rowOff>29559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0D83F4-7A37-4993-9FB7-7E9B6F6FE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24874" y="13173075"/>
          <a:ext cx="8924925" cy="70494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12</xdr:col>
      <xdr:colOff>248620</xdr:colOff>
      <xdr:row>108</xdr:row>
      <xdr:rowOff>38717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938046B-95AD-4ED4-9131-FAE22341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16192500"/>
          <a:ext cx="6954220" cy="44202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110</xdr:row>
      <xdr:rowOff>0</xdr:rowOff>
    </xdr:from>
    <xdr:to>
      <xdr:col>30</xdr:col>
      <xdr:colOff>383436</xdr:colOff>
      <xdr:row>156</xdr:row>
      <xdr:rowOff>106013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528EC3-2F57-463B-AD72-11BBDFF1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20955000"/>
          <a:ext cx="17452236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447675</xdr:colOff>
      <xdr:row>22</xdr:row>
      <xdr:rowOff>133350</xdr:rowOff>
    </xdr:from>
    <xdr:to>
      <xdr:col>35</xdr:col>
      <xdr:colOff>249409</xdr:colOff>
      <xdr:row>44</xdr:row>
      <xdr:rowOff>29145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4EE719-5374-4424-8139-C45C1E39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82075" y="4324350"/>
          <a:ext cx="12603334" cy="40867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14</xdr:col>
      <xdr:colOff>134475</xdr:colOff>
      <xdr:row>54</xdr:row>
      <xdr:rowOff>105800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D9A62B-50A1-446B-B4C0-9C3CA6F9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048000"/>
          <a:ext cx="8059275" cy="734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16</xdr:col>
      <xdr:colOff>419942</xdr:colOff>
      <xdr:row>29</xdr:row>
      <xdr:rowOff>76609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1B3840-E67D-456F-919C-927895D6B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050" y="2667000"/>
          <a:ext cx="6030167" cy="29341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16</xdr:col>
      <xdr:colOff>419942</xdr:colOff>
      <xdr:row>29</xdr:row>
      <xdr:rowOff>76609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CE64CA-3029-4067-B6BF-24499BFC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175" y="2667000"/>
          <a:ext cx="6030167" cy="2934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14</xdr:row>
      <xdr:rowOff>0</xdr:rowOff>
    </xdr:from>
    <xdr:to>
      <xdr:col>16</xdr:col>
      <xdr:colOff>419942</xdr:colOff>
      <xdr:row>29</xdr:row>
      <xdr:rowOff>76609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FCF593-1366-43C4-AB28-97854401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050" y="2667000"/>
          <a:ext cx="6030167" cy="29341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zoomScaleNormal="100" workbookViewId="0">
      <selection activeCell="F25" sqref="F25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113" t="s">
        <v>50</v>
      </c>
      <c r="B1" s="114"/>
      <c r="C1" s="115"/>
    </row>
    <row r="2" spans="1:12" ht="15" customHeight="1" x14ac:dyDescent="0.3">
      <c r="A2" s="116" t="s">
        <v>9</v>
      </c>
      <c r="B2" s="117"/>
      <c r="C2" s="21">
        <v>2001</v>
      </c>
      <c r="F2" s="20"/>
    </row>
    <row r="3" spans="1:12" x14ac:dyDescent="0.25">
      <c r="A3" s="22"/>
      <c r="B3" s="22"/>
      <c r="C3" s="22"/>
      <c r="L3" s="3"/>
    </row>
    <row r="4" spans="1:12" x14ac:dyDescent="0.25">
      <c r="A4" s="22" t="s">
        <v>10</v>
      </c>
      <c r="B4" s="22"/>
      <c r="C4" s="22">
        <v>2001</v>
      </c>
      <c r="G4" s="122" t="s">
        <v>14</v>
      </c>
      <c r="H4" s="123"/>
      <c r="K4" s="121"/>
      <c r="L4" s="121"/>
    </row>
    <row r="5" spans="1:12" x14ac:dyDescent="0.25">
      <c r="A5" s="22" t="s">
        <v>0</v>
      </c>
      <c r="B5" s="22"/>
      <c r="C5" s="22">
        <v>1974</v>
      </c>
      <c r="D5" t="s">
        <v>30</v>
      </c>
      <c r="G5" s="15" t="s">
        <v>26</v>
      </c>
      <c r="H5" s="16">
        <v>43</v>
      </c>
      <c r="J5" s="10"/>
    </row>
    <row r="6" spans="1:12" x14ac:dyDescent="0.25">
      <c r="A6" s="22" t="s">
        <v>1</v>
      </c>
      <c r="B6" s="23"/>
      <c r="C6" s="22">
        <f>C4-C5</f>
        <v>27</v>
      </c>
      <c r="D6">
        <f>70-C6</f>
        <v>43</v>
      </c>
      <c r="G6" s="15" t="s">
        <v>27</v>
      </c>
      <c r="H6" s="18" t="s">
        <v>51</v>
      </c>
    </row>
    <row r="7" spans="1:12" x14ac:dyDescent="0.25">
      <c r="A7" s="118" t="s">
        <v>15</v>
      </c>
      <c r="B7" s="23" t="s">
        <v>11</v>
      </c>
      <c r="C7" s="23" t="s">
        <v>12</v>
      </c>
      <c r="G7" s="15" t="s">
        <v>28</v>
      </c>
      <c r="H7" s="17">
        <v>79400</v>
      </c>
      <c r="I7" s="2"/>
    </row>
    <row r="8" spans="1:12" ht="15.75" customHeight="1" x14ac:dyDescent="0.25">
      <c r="A8" s="119"/>
      <c r="B8" s="23"/>
      <c r="C8" s="24">
        <v>186.69</v>
      </c>
      <c r="F8" s="1"/>
      <c r="G8" s="13" t="s">
        <v>52</v>
      </c>
      <c r="H8" s="14">
        <f>H7*1.25</f>
        <v>99250</v>
      </c>
      <c r="I8" s="2"/>
    </row>
    <row r="9" spans="1:12" ht="33.75" customHeight="1" x14ac:dyDescent="0.25">
      <c r="A9" s="46"/>
      <c r="B9" s="23"/>
      <c r="C9" s="23"/>
      <c r="G9" s="9" t="s">
        <v>19</v>
      </c>
      <c r="H9" s="2"/>
      <c r="K9" s="1"/>
    </row>
    <row r="10" spans="1:12" x14ac:dyDescent="0.25">
      <c r="A10" s="25" t="s">
        <v>18</v>
      </c>
      <c r="B10" s="26"/>
      <c r="C10" s="27">
        <v>5500</v>
      </c>
      <c r="D10" t="s">
        <v>23</v>
      </c>
      <c r="I10" s="2"/>
    </row>
    <row r="11" spans="1:12" x14ac:dyDescent="0.25">
      <c r="A11" s="25"/>
      <c r="B11" s="26"/>
      <c r="C11" s="26"/>
      <c r="D11" t="s">
        <v>24</v>
      </c>
    </row>
    <row r="12" spans="1:12" x14ac:dyDescent="0.25">
      <c r="A12" s="26" t="s">
        <v>16</v>
      </c>
      <c r="B12" s="26"/>
      <c r="C12" s="27">
        <f>ROUND(C8*C10,0)</f>
        <v>1026795</v>
      </c>
      <c r="D12" s="2" t="s">
        <v>25</v>
      </c>
      <c r="I12" s="4"/>
      <c r="J12" s="4"/>
      <c r="K12" s="4"/>
    </row>
    <row r="13" spans="1:12" x14ac:dyDescent="0.25">
      <c r="A13" s="26"/>
      <c r="B13" s="26"/>
      <c r="C13" s="27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6"/>
      <c r="C14" s="26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8" t="s">
        <v>33</v>
      </c>
      <c r="B15" s="26"/>
      <c r="C15" s="29">
        <f>C14*C6/70</f>
        <v>34.714285714285715</v>
      </c>
      <c r="F15" s="6"/>
      <c r="G15" s="6"/>
      <c r="H15" s="7"/>
      <c r="I15" s="4"/>
      <c r="J15" s="4"/>
      <c r="K15" s="4"/>
    </row>
    <row r="16" spans="1:12" x14ac:dyDescent="0.25">
      <c r="A16" s="26"/>
      <c r="B16" s="26"/>
      <c r="C16" s="30">
        <v>0.34710000000000002</v>
      </c>
      <c r="G16" s="6"/>
      <c r="H16" s="5"/>
      <c r="I16" s="120"/>
      <c r="J16" s="120"/>
      <c r="K16" s="120"/>
    </row>
    <row r="17" spans="1:11" x14ac:dyDescent="0.25">
      <c r="A17" s="22" t="s">
        <v>3</v>
      </c>
      <c r="B17" s="22"/>
      <c r="C17" s="31">
        <f>ROUND(C12*C16,0)</f>
        <v>356401</v>
      </c>
      <c r="D17" s="2"/>
      <c r="E17" s="2"/>
    </row>
    <row r="18" spans="1:11" x14ac:dyDescent="0.25">
      <c r="A18" s="32" t="s">
        <v>13</v>
      </c>
      <c r="B18" s="32"/>
      <c r="C18" s="32"/>
      <c r="E18" s="1"/>
    </row>
    <row r="19" spans="1:11" x14ac:dyDescent="0.25">
      <c r="A19" s="33" t="s">
        <v>17</v>
      </c>
      <c r="B19" s="33"/>
      <c r="C19" s="34">
        <f>H8</f>
        <v>99250</v>
      </c>
    </row>
    <row r="20" spans="1:11" x14ac:dyDescent="0.25">
      <c r="A20" s="35"/>
      <c r="B20" s="35"/>
      <c r="C20" s="35"/>
    </row>
    <row r="21" spans="1:11" x14ac:dyDescent="0.25">
      <c r="A21" s="36" t="s">
        <v>20</v>
      </c>
      <c r="B21" s="36"/>
      <c r="C21" s="37">
        <f>ROUND(C19*C8,0)</f>
        <v>18528983</v>
      </c>
    </row>
    <row r="22" spans="1:11" x14ac:dyDescent="0.25">
      <c r="A22" s="38"/>
      <c r="B22" s="38"/>
      <c r="C22" s="39"/>
      <c r="E22" t="s">
        <v>21</v>
      </c>
      <c r="F22" t="s">
        <v>22</v>
      </c>
    </row>
    <row r="23" spans="1:11" x14ac:dyDescent="0.25">
      <c r="A23" s="40" t="s">
        <v>4</v>
      </c>
      <c r="B23" s="40"/>
      <c r="C23" s="41">
        <f>C21-C17</f>
        <v>18172582</v>
      </c>
      <c r="E23" s="2">
        <f>'Option-2(L + B)(FSI-2.5)'!C26</f>
        <v>27477834.455499999</v>
      </c>
      <c r="F23" s="2">
        <f>C23</f>
        <v>18172582</v>
      </c>
      <c r="G23" s="1"/>
    </row>
    <row r="24" spans="1:11" x14ac:dyDescent="0.25">
      <c r="A24" s="38"/>
      <c r="B24" s="38"/>
      <c r="C24" s="38"/>
      <c r="D24" t="s">
        <v>31</v>
      </c>
      <c r="E24" s="2">
        <v>1000000</v>
      </c>
      <c r="F24" s="12">
        <f>ROUND(F23*1%,0)</f>
        <v>181726</v>
      </c>
      <c r="G24" s="2"/>
    </row>
    <row r="25" spans="1:11" x14ac:dyDescent="0.25">
      <c r="A25" s="26" t="s">
        <v>5</v>
      </c>
      <c r="B25" s="26"/>
      <c r="C25" s="42">
        <f>E28</f>
        <v>2156990</v>
      </c>
      <c r="E25" s="2">
        <f>MROUND(E23-E24,500)</f>
        <v>26478000</v>
      </c>
      <c r="F25">
        <v>20000</v>
      </c>
      <c r="G25" t="s">
        <v>54</v>
      </c>
    </row>
    <row r="26" spans="1:11" x14ac:dyDescent="0.25">
      <c r="A26" s="26" t="s">
        <v>6</v>
      </c>
      <c r="B26" s="26"/>
      <c r="C26" s="42">
        <f>F25</f>
        <v>20000</v>
      </c>
      <c r="D26" t="s">
        <v>53</v>
      </c>
      <c r="E26" s="2">
        <f>E25*8%</f>
        <v>2118240</v>
      </c>
      <c r="G26" s="1"/>
      <c r="K26" s="1"/>
    </row>
    <row r="27" spans="1:11" x14ac:dyDescent="0.25">
      <c r="A27" s="26"/>
      <c r="B27" s="26"/>
      <c r="C27" s="26"/>
      <c r="E27" s="1">
        <v>38750</v>
      </c>
      <c r="J27" s="8"/>
      <c r="K27" s="8"/>
    </row>
    <row r="28" spans="1:11" x14ac:dyDescent="0.25">
      <c r="A28" s="43" t="s">
        <v>7</v>
      </c>
      <c r="B28" s="43"/>
      <c r="C28" s="44">
        <f>ROUND(C26+C25+C23,0)</f>
        <v>20349572</v>
      </c>
      <c r="E28" s="11">
        <f>E26+E27</f>
        <v>2156990</v>
      </c>
      <c r="J28" s="8"/>
    </row>
    <row r="29" spans="1:11" x14ac:dyDescent="0.25">
      <c r="A29" s="45" t="s">
        <v>32</v>
      </c>
      <c r="B29" s="26"/>
      <c r="C29" s="27">
        <v>100</v>
      </c>
      <c r="E29" s="2"/>
      <c r="J29" s="8"/>
    </row>
    <row r="30" spans="1:11" x14ac:dyDescent="0.25">
      <c r="A30" s="26" t="s">
        <v>55</v>
      </c>
      <c r="B30" s="26"/>
      <c r="C30" s="27">
        <v>363</v>
      </c>
      <c r="J30" s="1"/>
    </row>
    <row r="31" spans="1:11" x14ac:dyDescent="0.25">
      <c r="A31" s="26" t="s">
        <v>56</v>
      </c>
      <c r="B31" s="26"/>
      <c r="C31" s="27"/>
      <c r="J31" s="8"/>
    </row>
    <row r="32" spans="1:11" x14ac:dyDescent="0.25">
      <c r="A32" s="26" t="s">
        <v>8</v>
      </c>
      <c r="B32" s="26"/>
      <c r="C32" s="27">
        <f>C28*C30/C29</f>
        <v>73868946.359999999</v>
      </c>
      <c r="E32" s="2"/>
      <c r="J32" s="2"/>
    </row>
    <row r="33" spans="1:21" x14ac:dyDescent="0.25">
      <c r="A33" s="43"/>
      <c r="B33" s="43"/>
      <c r="C33" s="44">
        <f>ROUND(C32,0)</f>
        <v>73868946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FE687-B6CE-48EF-8D96-163ED75479AB}">
  <dimension ref="A1:O158"/>
  <sheetViews>
    <sheetView tabSelected="1" workbookViewId="0">
      <selection activeCell="G16" sqref="G16"/>
    </sheetView>
  </sheetViews>
  <sheetFormatPr defaultRowHeight="16.5" x14ac:dyDescent="0.3"/>
  <cols>
    <col min="1" max="1" width="9.140625" style="47"/>
    <col min="2" max="2" width="28.5703125" style="83" customWidth="1"/>
    <col min="3" max="3" width="14.140625" style="20" customWidth="1"/>
    <col min="4" max="4" width="17" style="20" customWidth="1"/>
    <col min="5" max="5" width="17.5703125" style="20" bestFit="1" customWidth="1"/>
    <col min="6" max="7" width="13.85546875" style="80" bestFit="1" customWidth="1"/>
    <col min="8" max="8" width="15.28515625" style="80" bestFit="1" customWidth="1"/>
    <col min="9" max="9" width="13.85546875" style="20" bestFit="1" customWidth="1"/>
    <col min="10" max="10" width="13.140625" style="80" customWidth="1"/>
    <col min="11" max="11" width="14.140625" style="20" customWidth="1"/>
    <col min="12" max="12" width="14.85546875" style="80" customWidth="1"/>
    <col min="13" max="13" width="14.85546875" style="80" bestFit="1" customWidth="1"/>
    <col min="14" max="14" width="13.28515625" style="80" bestFit="1" customWidth="1"/>
    <col min="15" max="16384" width="9.140625" style="20"/>
  </cols>
  <sheetData>
    <row r="1" spans="1:15" x14ac:dyDescent="0.3">
      <c r="B1" s="48" t="s">
        <v>34</v>
      </c>
      <c r="C1" s="49"/>
      <c r="D1" s="49"/>
      <c r="E1" s="50"/>
      <c r="F1" s="51"/>
      <c r="G1" s="51"/>
      <c r="H1" s="51"/>
      <c r="I1" s="49"/>
      <c r="J1" s="51"/>
      <c r="K1" s="49"/>
      <c r="L1" s="51"/>
      <c r="M1" s="51"/>
      <c r="N1" s="51"/>
      <c r="O1" s="49"/>
    </row>
    <row r="2" spans="1:15" x14ac:dyDescent="0.3">
      <c r="B2" s="52" t="s">
        <v>35</v>
      </c>
      <c r="C2" s="49">
        <v>594.5</v>
      </c>
      <c r="D2" s="49"/>
      <c r="E2" s="53"/>
      <c r="F2" s="53"/>
      <c r="G2" s="54"/>
      <c r="H2" s="49"/>
      <c r="I2" s="49"/>
      <c r="J2" s="51"/>
      <c r="K2" s="49"/>
      <c r="L2" s="51"/>
      <c r="M2" s="51"/>
      <c r="N2" s="51"/>
      <c r="O2" s="49"/>
    </row>
    <row r="3" spans="1:15" x14ac:dyDescent="0.3">
      <c r="B3" s="55" t="s">
        <v>28</v>
      </c>
      <c r="C3" s="56">
        <v>45100</v>
      </c>
      <c r="D3" s="57"/>
      <c r="E3" s="58"/>
      <c r="F3" s="58"/>
      <c r="G3" s="57"/>
      <c r="H3" s="49"/>
      <c r="I3" s="49"/>
      <c r="J3" s="51"/>
      <c r="K3" s="49"/>
      <c r="L3" s="51"/>
      <c r="M3" s="51"/>
      <c r="N3" s="51"/>
      <c r="O3" s="49"/>
    </row>
    <row r="4" spans="1:15" x14ac:dyDescent="0.3">
      <c r="B4" s="59" t="s">
        <v>36</v>
      </c>
      <c r="C4" s="60">
        <f>ROUND((C2*C3),0)</f>
        <v>26811950</v>
      </c>
      <c r="D4" s="49"/>
      <c r="E4" s="49"/>
      <c r="F4" s="58"/>
      <c r="G4" s="58"/>
      <c r="H4" s="51"/>
      <c r="I4" s="49"/>
      <c r="J4" s="51"/>
      <c r="K4" s="49"/>
      <c r="L4" s="51"/>
      <c r="M4" s="51"/>
      <c r="N4" s="51"/>
      <c r="O4" s="49"/>
    </row>
    <row r="5" spans="1:15" x14ac:dyDescent="0.3">
      <c r="B5" s="48" t="s">
        <v>37</v>
      </c>
      <c r="C5" s="49"/>
      <c r="D5" s="49"/>
      <c r="E5" s="49"/>
      <c r="F5" s="51"/>
      <c r="G5" s="51"/>
      <c r="H5" s="51"/>
      <c r="I5" s="49"/>
      <c r="J5" s="51"/>
      <c r="K5" s="49"/>
      <c r="L5" s="51"/>
      <c r="M5" s="51"/>
      <c r="N5" s="51"/>
      <c r="O5" s="49"/>
    </row>
    <row r="6" spans="1:15" s="61" customFormat="1" ht="61.5" customHeight="1" x14ac:dyDescent="0.2">
      <c r="B6" s="53" t="s">
        <v>38</v>
      </c>
      <c r="C6" s="53" t="s">
        <v>39</v>
      </c>
      <c r="D6" s="53" t="s">
        <v>40</v>
      </c>
      <c r="E6" s="53" t="s">
        <v>41</v>
      </c>
      <c r="F6" s="53" t="s">
        <v>42</v>
      </c>
      <c r="G6" s="62" t="s">
        <v>43</v>
      </c>
      <c r="H6" s="63" t="s">
        <v>44</v>
      </c>
      <c r="I6" s="64" t="s">
        <v>45</v>
      </c>
      <c r="J6" s="64" t="s">
        <v>46</v>
      </c>
      <c r="K6" s="63" t="s">
        <v>47</v>
      </c>
      <c r="L6" s="63" t="s">
        <v>48</v>
      </c>
      <c r="M6" s="63" t="s">
        <v>49</v>
      </c>
      <c r="N6" s="65"/>
      <c r="O6" s="65"/>
    </row>
    <row r="7" spans="1:15" x14ac:dyDescent="0.3">
      <c r="B7" s="66" t="s">
        <v>119</v>
      </c>
      <c r="C7" s="67">
        <v>67.2</v>
      </c>
      <c r="D7" s="68">
        <v>1974</v>
      </c>
      <c r="E7" s="68">
        <v>2001</v>
      </c>
      <c r="F7" s="68">
        <v>70</v>
      </c>
      <c r="G7" s="69">
        <v>4500</v>
      </c>
      <c r="H7" s="70">
        <f t="shared" ref="H7" si="0">E7-D7</f>
        <v>27</v>
      </c>
      <c r="I7" s="70">
        <f t="shared" ref="I7" si="1">IF(H7&gt;=5,90*H7/F7,0)</f>
        <v>34.714285714285715</v>
      </c>
      <c r="J7" s="57">
        <f t="shared" ref="J7" si="2">G7/100*I7</f>
        <v>1562.1428571428571</v>
      </c>
      <c r="K7" s="57">
        <f t="shared" ref="K7" si="3">ROUND((G7-J7),0)</f>
        <v>2938</v>
      </c>
      <c r="L7" s="57">
        <f>ROUND((K7*C7),0)</f>
        <v>197434</v>
      </c>
      <c r="M7" s="57">
        <f>ROUND((C7*G7),0)</f>
        <v>302400</v>
      </c>
      <c r="N7" s="60">
        <f>M7-L7</f>
        <v>104966</v>
      </c>
      <c r="O7" s="49"/>
    </row>
    <row r="8" spans="1:15" x14ac:dyDescent="0.3">
      <c r="A8" s="61"/>
      <c r="B8" s="66" t="s">
        <v>118</v>
      </c>
      <c r="C8" s="67">
        <v>87</v>
      </c>
      <c r="D8" s="68">
        <v>1974</v>
      </c>
      <c r="E8" s="68">
        <v>2001</v>
      </c>
      <c r="F8" s="68">
        <v>70</v>
      </c>
      <c r="G8" s="69">
        <v>4500</v>
      </c>
      <c r="H8" s="70">
        <f t="shared" ref="H8" si="4">E8-D8</f>
        <v>27</v>
      </c>
      <c r="I8" s="70">
        <f t="shared" ref="I8" si="5">IF(H8&gt;=5,90*H8/F8,0)</f>
        <v>34.714285714285715</v>
      </c>
      <c r="J8" s="57">
        <f t="shared" ref="J8" si="6">G8/100*I8</f>
        <v>1562.1428571428571</v>
      </c>
      <c r="K8" s="57">
        <f t="shared" ref="K8" si="7">ROUND((G8-J8),0)</f>
        <v>2938</v>
      </c>
      <c r="L8" s="57">
        <f>ROUND((K8*C8),0)</f>
        <v>255606</v>
      </c>
      <c r="M8" s="57">
        <f>ROUND((C8*G8),0)</f>
        <v>391500</v>
      </c>
      <c r="N8" s="60">
        <f>M8-L8</f>
        <v>135894</v>
      </c>
      <c r="O8" s="49"/>
    </row>
    <row r="9" spans="1:15" s="71" customFormat="1" ht="17.25" customHeight="1" x14ac:dyDescent="0.3">
      <c r="A9" s="47"/>
      <c r="B9" s="66" t="s">
        <v>117</v>
      </c>
      <c r="C9" s="67">
        <v>87</v>
      </c>
      <c r="D9" s="68">
        <v>1974</v>
      </c>
      <c r="E9" s="68">
        <v>2001</v>
      </c>
      <c r="F9" s="68">
        <v>70</v>
      </c>
      <c r="G9" s="69">
        <v>0</v>
      </c>
      <c r="H9" s="70">
        <f t="shared" ref="H9" si="8">E9-D9</f>
        <v>27</v>
      </c>
      <c r="I9" s="70">
        <f t="shared" ref="I9" si="9">IF(H9&gt;=5,90*H9/F9,0)</f>
        <v>34.714285714285715</v>
      </c>
      <c r="J9" s="57">
        <f t="shared" ref="J9" si="10">G9/100*I9</f>
        <v>0</v>
      </c>
      <c r="K9" s="57">
        <f t="shared" ref="K9" si="11">ROUND((G9-J9),0)</f>
        <v>0</v>
      </c>
      <c r="L9" s="57">
        <f>ROUND((K9*C9),0)</f>
        <v>0</v>
      </c>
      <c r="M9" s="57">
        <f>ROUND((C9*G9),0)</f>
        <v>0</v>
      </c>
      <c r="N9" s="60">
        <f>M9-L9</f>
        <v>0</v>
      </c>
      <c r="O9" s="49"/>
    </row>
    <row r="10" spans="1:15" s="71" customFormat="1" ht="17.25" customHeight="1" x14ac:dyDescent="0.3">
      <c r="A10" s="47"/>
      <c r="B10" s="66"/>
      <c r="C10" s="67"/>
      <c r="D10" s="68"/>
      <c r="E10" s="68"/>
      <c r="F10" s="68"/>
      <c r="G10" s="69"/>
      <c r="H10" s="70"/>
      <c r="I10" s="70"/>
      <c r="J10" s="57"/>
      <c r="K10" s="57"/>
      <c r="L10" s="72">
        <f>SUM(L7:L9)</f>
        <v>453040</v>
      </c>
      <c r="M10" s="72">
        <f>SUM(M7:M9)</f>
        <v>693900</v>
      </c>
      <c r="N10" s="70"/>
      <c r="O10" s="49"/>
    </row>
    <row r="11" spans="1:15" s="71" customFormat="1" ht="17.25" customHeight="1" x14ac:dyDescent="0.3">
      <c r="A11" s="47"/>
      <c r="B11" s="66"/>
      <c r="C11" s="67"/>
      <c r="D11" s="68"/>
      <c r="E11" s="68"/>
      <c r="F11" s="68"/>
      <c r="G11" s="69"/>
      <c r="H11" s="70"/>
      <c r="I11" s="70"/>
      <c r="J11" s="57"/>
      <c r="K11" s="57"/>
      <c r="L11" s="57"/>
      <c r="M11" s="57"/>
      <c r="N11" s="70"/>
      <c r="O11" s="49"/>
    </row>
    <row r="12" spans="1:15" s="71" customFormat="1" ht="17.25" customHeight="1" x14ac:dyDescent="0.3">
      <c r="A12" s="47"/>
      <c r="B12" s="73"/>
      <c r="C12" s="74"/>
      <c r="D12" s="75"/>
      <c r="E12" s="75"/>
      <c r="F12" s="75"/>
      <c r="G12" s="76"/>
      <c r="H12" s="77"/>
      <c r="I12" s="77"/>
      <c r="J12" s="78"/>
      <c r="K12" s="78"/>
      <c r="L12" s="78"/>
      <c r="M12" s="78"/>
      <c r="N12" s="77"/>
      <c r="O12" s="20"/>
    </row>
    <row r="13" spans="1:15" x14ac:dyDescent="0.3">
      <c r="A13" s="97"/>
      <c r="B13" s="98"/>
      <c r="C13" s="99"/>
      <c r="D13" s="99" t="s">
        <v>125</v>
      </c>
      <c r="E13" s="99" t="s">
        <v>5</v>
      </c>
      <c r="F13" s="126" t="s">
        <v>87</v>
      </c>
      <c r="G13" s="126" t="s">
        <v>124</v>
      </c>
      <c r="H13" s="79"/>
      <c r="K13" s="81"/>
    </row>
    <row r="14" spans="1:15" x14ac:dyDescent="0.3">
      <c r="A14" s="97"/>
      <c r="C14" s="98" t="s">
        <v>34</v>
      </c>
      <c r="D14" s="100">
        <f>C4</f>
        <v>26811950</v>
      </c>
      <c r="E14" s="100">
        <f>E32</f>
        <v>2103710</v>
      </c>
      <c r="F14" s="100">
        <f>F29</f>
        <v>20000</v>
      </c>
      <c r="G14" s="102">
        <f>SUM(D14:F14)</f>
        <v>28935660</v>
      </c>
      <c r="H14"/>
      <c r="I14"/>
      <c r="J14"/>
      <c r="K14" s="85"/>
    </row>
    <row r="15" spans="1:15" x14ac:dyDescent="0.3">
      <c r="A15" s="97"/>
      <c r="C15" s="98" t="s">
        <v>37</v>
      </c>
      <c r="D15" s="100">
        <f>L10</f>
        <v>453040</v>
      </c>
      <c r="E15" s="100">
        <f>E41</f>
        <v>7340</v>
      </c>
      <c r="F15" s="100">
        <f>F37</f>
        <v>4530</v>
      </c>
      <c r="G15" s="102">
        <f>SUM(D15:F15)</f>
        <v>464910</v>
      </c>
      <c r="H15"/>
      <c r="I15" s="122" t="s">
        <v>14</v>
      </c>
      <c r="J15" s="123"/>
      <c r="K15" s="84"/>
    </row>
    <row r="16" spans="1:15" x14ac:dyDescent="0.3">
      <c r="A16" s="97"/>
      <c r="B16" s="101"/>
      <c r="C16" s="102"/>
      <c r="D16" s="105"/>
      <c r="E16" s="125"/>
      <c r="F16" s="125"/>
      <c r="G16" s="105">
        <f>G15+G14</f>
        <v>29400570</v>
      </c>
      <c r="H16"/>
      <c r="I16" s="15" t="s">
        <v>26</v>
      </c>
      <c r="J16" s="16">
        <v>43</v>
      </c>
      <c r="K16" s="86"/>
      <c r="L16" s="87"/>
      <c r="M16" s="87"/>
      <c r="N16" s="87"/>
    </row>
    <row r="17" spans="1:14" x14ac:dyDescent="0.3">
      <c r="A17" s="97"/>
      <c r="B17" s="101"/>
      <c r="C17" s="102"/>
      <c r="D17" s="102"/>
      <c r="E17" s="82"/>
      <c r="F17" s="88"/>
      <c r="G17" s="87"/>
      <c r="H17"/>
      <c r="I17" s="15" t="s">
        <v>27</v>
      </c>
      <c r="J17" s="18" t="s">
        <v>51</v>
      </c>
      <c r="K17" s="86"/>
      <c r="L17" s="87"/>
      <c r="M17" s="87"/>
      <c r="N17" s="87"/>
    </row>
    <row r="18" spans="1:14" hidden="1" x14ac:dyDescent="0.3">
      <c r="A18" s="97"/>
      <c r="B18" s="98"/>
      <c r="C18" s="100"/>
      <c r="D18" s="103"/>
      <c r="E18" s="82"/>
      <c r="F18" s="88"/>
      <c r="G18" s="87"/>
      <c r="H18"/>
      <c r="I18" s="15" t="s">
        <v>28</v>
      </c>
      <c r="J18" s="17">
        <v>79400</v>
      </c>
      <c r="K18" s="86"/>
      <c r="L18" s="87"/>
      <c r="M18" s="87"/>
      <c r="N18" s="87"/>
    </row>
    <row r="19" spans="1:14" hidden="1" x14ac:dyDescent="0.3">
      <c r="A19" s="97"/>
      <c r="B19" s="101"/>
      <c r="C19" s="100"/>
      <c r="D19" s="103"/>
      <c r="E19" s="82"/>
      <c r="F19" s="88"/>
      <c r="G19" s="87"/>
      <c r="H19" s="87"/>
      <c r="I19" s="86"/>
      <c r="J19" s="87"/>
      <c r="K19" s="86"/>
      <c r="L19" s="87"/>
      <c r="M19" s="87"/>
      <c r="N19" s="87"/>
    </row>
    <row r="20" spans="1:14" hidden="1" x14ac:dyDescent="0.3">
      <c r="A20" s="97"/>
      <c r="B20" s="101"/>
      <c r="C20" s="100"/>
      <c r="D20" s="103"/>
      <c r="E20" s="82"/>
      <c r="F20" s="88"/>
      <c r="G20" s="87"/>
      <c r="H20" s="87"/>
      <c r="I20" s="86"/>
      <c r="J20" s="87"/>
      <c r="K20" s="86"/>
      <c r="L20" s="87"/>
      <c r="M20" s="87"/>
      <c r="N20" s="87"/>
    </row>
    <row r="21" spans="1:14" x14ac:dyDescent="0.3">
      <c r="A21" s="97"/>
      <c r="B21" s="101"/>
      <c r="C21" s="102"/>
      <c r="D21" s="102"/>
      <c r="E21" s="82"/>
      <c r="F21" s="88"/>
      <c r="G21" s="87"/>
      <c r="H21" s="89"/>
      <c r="I21" s="15" t="s">
        <v>106</v>
      </c>
      <c r="J21" s="15">
        <v>45100</v>
      </c>
      <c r="K21" s="86"/>
      <c r="L21" s="87"/>
      <c r="M21" s="87"/>
      <c r="N21" s="87"/>
    </row>
    <row r="22" spans="1:14" hidden="1" x14ac:dyDescent="0.3">
      <c r="A22" s="97"/>
      <c r="B22" s="104"/>
      <c r="C22" s="102"/>
      <c r="D22" s="103"/>
      <c r="E22" s="82"/>
      <c r="F22" s="88"/>
      <c r="G22" s="87"/>
      <c r="H22" s="87"/>
      <c r="I22" s="86"/>
      <c r="J22" s="87"/>
      <c r="K22" s="86"/>
      <c r="L22" s="87"/>
      <c r="M22" s="87"/>
      <c r="N22" s="87"/>
    </row>
    <row r="23" spans="1:14" hidden="1" x14ac:dyDescent="0.3">
      <c r="A23" s="97"/>
      <c r="B23" s="98"/>
      <c r="C23" s="100"/>
      <c r="D23" s="103"/>
      <c r="E23" s="82"/>
      <c r="F23" s="87"/>
      <c r="G23" s="87"/>
      <c r="H23" s="87"/>
      <c r="I23" s="86"/>
      <c r="J23" s="87"/>
      <c r="K23" s="86"/>
      <c r="L23" s="87"/>
      <c r="M23" s="87"/>
      <c r="N23" s="87"/>
    </row>
    <row r="24" spans="1:14" hidden="1" x14ac:dyDescent="0.3">
      <c r="A24" s="97"/>
      <c r="B24" s="98"/>
      <c r="C24" s="100"/>
      <c r="D24" s="103"/>
      <c r="E24" s="82"/>
      <c r="F24" s="87"/>
      <c r="G24" s="87"/>
      <c r="H24" s="87"/>
      <c r="I24" s="86"/>
      <c r="J24" s="87"/>
      <c r="K24" s="86"/>
      <c r="L24" s="87"/>
      <c r="M24" s="87"/>
      <c r="N24" s="87"/>
    </row>
    <row r="25" spans="1:14" x14ac:dyDescent="0.3">
      <c r="E25" s="124" t="s">
        <v>120</v>
      </c>
      <c r="F25" s="87"/>
      <c r="G25" s="87"/>
      <c r="H25" s="87"/>
      <c r="I25" s="86"/>
      <c r="J25" s="87"/>
      <c r="K25" s="91"/>
      <c r="L25" s="87"/>
      <c r="M25" s="90"/>
      <c r="N25" s="87"/>
    </row>
    <row r="26" spans="1:14" x14ac:dyDescent="0.3">
      <c r="D26"/>
      <c r="E26" t="s">
        <v>21</v>
      </c>
      <c r="F26" t="s">
        <v>22</v>
      </c>
      <c r="G26"/>
      <c r="H26"/>
      <c r="I26" s="86"/>
      <c r="J26" s="87"/>
      <c r="K26" s="91"/>
      <c r="L26" s="87"/>
      <c r="M26" s="90"/>
      <c r="N26" s="87"/>
    </row>
    <row r="27" spans="1:14" x14ac:dyDescent="0.3">
      <c r="D27"/>
      <c r="E27" s="2">
        <f>C4</f>
        <v>26811950</v>
      </c>
      <c r="F27" s="2">
        <f>E27</f>
        <v>26811950</v>
      </c>
      <c r="G27" s="1"/>
      <c r="H27"/>
      <c r="I27" s="86"/>
      <c r="J27" s="87"/>
      <c r="K27" s="91"/>
      <c r="L27" s="87"/>
      <c r="M27" s="90"/>
      <c r="N27" s="87"/>
    </row>
    <row r="28" spans="1:14" x14ac:dyDescent="0.3">
      <c r="D28" t="s">
        <v>31</v>
      </c>
      <c r="E28" s="2">
        <v>1000000</v>
      </c>
      <c r="F28" s="12">
        <f>ROUND(F27*1%,0)</f>
        <v>268120</v>
      </c>
      <c r="G28" s="2"/>
      <c r="H28"/>
      <c r="I28" s="86"/>
      <c r="J28" s="87"/>
      <c r="K28" s="91"/>
      <c r="L28" s="87"/>
      <c r="M28" s="90"/>
      <c r="N28" s="87"/>
    </row>
    <row r="29" spans="1:14" x14ac:dyDescent="0.3">
      <c r="D29"/>
      <c r="E29" s="2">
        <f>MROUND(E27-E28,500)</f>
        <v>25812000</v>
      </c>
      <c r="F29">
        <v>20000</v>
      </c>
      <c r="G29" t="s">
        <v>54</v>
      </c>
      <c r="H29"/>
      <c r="I29" s="86"/>
      <c r="J29" s="87"/>
      <c r="K29" s="91"/>
      <c r="L29" s="87"/>
      <c r="M29" s="90"/>
      <c r="N29" s="87"/>
    </row>
    <row r="30" spans="1:14" x14ac:dyDescent="0.3">
      <c r="D30" t="s">
        <v>53</v>
      </c>
      <c r="E30" s="2">
        <f>E29*8%</f>
        <v>2064960</v>
      </c>
      <c r="F30"/>
      <c r="G30" s="1"/>
      <c r="H30"/>
      <c r="I30" s="86"/>
      <c r="J30" s="87"/>
      <c r="K30" s="91"/>
      <c r="L30" s="87"/>
      <c r="M30" s="90"/>
      <c r="N30" s="87"/>
    </row>
    <row r="31" spans="1:14" x14ac:dyDescent="0.3">
      <c r="D31"/>
      <c r="E31" s="1">
        <v>38750</v>
      </c>
      <c r="F31"/>
      <c r="G31"/>
      <c r="H31"/>
      <c r="I31" s="86"/>
      <c r="J31" s="87"/>
      <c r="K31" s="86"/>
      <c r="L31" s="87"/>
      <c r="M31" s="87"/>
      <c r="N31" s="87"/>
    </row>
    <row r="32" spans="1:14" x14ac:dyDescent="0.3">
      <c r="D32"/>
      <c r="E32" s="11">
        <f>E30+E31</f>
        <v>2103710</v>
      </c>
      <c r="F32"/>
      <c r="G32"/>
      <c r="H32"/>
      <c r="I32" s="86"/>
      <c r="J32" s="87"/>
      <c r="K32" s="86"/>
      <c r="L32" s="87"/>
      <c r="M32" s="87"/>
      <c r="N32" s="87"/>
    </row>
    <row r="33" spans="4:14" x14ac:dyDescent="0.3">
      <c r="D33"/>
      <c r="E33"/>
      <c r="F33"/>
      <c r="G33"/>
      <c r="H33"/>
      <c r="I33" s="86"/>
      <c r="J33" s="87"/>
      <c r="K33" s="86"/>
      <c r="L33" s="87"/>
      <c r="M33" s="87"/>
      <c r="N33" s="87"/>
    </row>
    <row r="34" spans="4:14" x14ac:dyDescent="0.3">
      <c r="E34" s="124" t="s">
        <v>121</v>
      </c>
      <c r="F34" s="87"/>
      <c r="G34" s="87"/>
      <c r="H34" s="87"/>
      <c r="I34" s="86"/>
      <c r="J34" s="87"/>
      <c r="K34" s="86"/>
      <c r="L34" s="87"/>
      <c r="M34" s="87"/>
      <c r="N34" s="87"/>
    </row>
    <row r="35" spans="4:14" x14ac:dyDescent="0.3">
      <c r="E35" t="s">
        <v>21</v>
      </c>
      <c r="F35" t="s">
        <v>22</v>
      </c>
      <c r="G35"/>
      <c r="H35" s="87"/>
      <c r="I35" s="86"/>
      <c r="J35" s="87"/>
      <c r="K35" s="86"/>
      <c r="L35" s="87"/>
      <c r="M35" s="87"/>
      <c r="N35" s="87"/>
    </row>
    <row r="36" spans="4:14" x14ac:dyDescent="0.3">
      <c r="E36" s="2">
        <f>L10</f>
        <v>453040</v>
      </c>
      <c r="F36" s="2">
        <f>E36</f>
        <v>453040</v>
      </c>
      <c r="G36" s="1"/>
      <c r="H36" s="87"/>
      <c r="I36" s="86"/>
      <c r="J36" s="87"/>
      <c r="K36" s="86"/>
      <c r="L36" s="87"/>
      <c r="M36" s="87"/>
      <c r="N36" s="87"/>
    </row>
    <row r="37" spans="4:14" x14ac:dyDescent="0.3">
      <c r="D37" t="s">
        <v>122</v>
      </c>
      <c r="E37" s="2">
        <v>450000</v>
      </c>
      <c r="F37" s="12">
        <f>ROUND(F36*1%,0)</f>
        <v>4530</v>
      </c>
      <c r="G37" s="2"/>
      <c r="H37" s="87"/>
      <c r="I37" s="86"/>
      <c r="J37" s="87"/>
      <c r="K37" s="86"/>
      <c r="L37" s="87"/>
      <c r="M37" s="87"/>
      <c r="N37" s="87"/>
    </row>
    <row r="38" spans="4:14" x14ac:dyDescent="0.3">
      <c r="D38"/>
      <c r="E38" s="2">
        <f>MROUND(E36-E37,500)</f>
        <v>3000</v>
      </c>
      <c r="F38">
        <v>20000</v>
      </c>
      <c r="G38" t="s">
        <v>54</v>
      </c>
      <c r="H38" s="87"/>
      <c r="I38" s="86"/>
      <c r="J38" s="87"/>
      <c r="K38" s="86"/>
      <c r="L38" s="87"/>
      <c r="M38" s="87"/>
      <c r="N38" s="87"/>
    </row>
    <row r="39" spans="4:14" x14ac:dyDescent="0.3">
      <c r="D39" t="s">
        <v>123</v>
      </c>
      <c r="E39" s="2">
        <f>E38*3%</f>
        <v>90</v>
      </c>
      <c r="F39"/>
      <c r="G39" s="1"/>
      <c r="H39" s="87"/>
      <c r="I39" s="86"/>
      <c r="J39" s="87"/>
      <c r="K39" s="86"/>
      <c r="L39" s="87"/>
      <c r="M39" s="87"/>
      <c r="N39" s="87"/>
    </row>
    <row r="40" spans="4:14" x14ac:dyDescent="0.3">
      <c r="E40" s="1">
        <v>7250</v>
      </c>
      <c r="F40"/>
      <c r="G40"/>
      <c r="H40" s="87"/>
      <c r="I40" s="86"/>
      <c r="J40" s="87"/>
      <c r="K40" s="86"/>
      <c r="L40" s="87"/>
      <c r="M40" s="87"/>
      <c r="N40" s="87"/>
    </row>
    <row r="41" spans="4:14" x14ac:dyDescent="0.3">
      <c r="E41" s="11">
        <f>E39+E40</f>
        <v>7340</v>
      </c>
      <c r="F41"/>
      <c r="G41"/>
      <c r="H41" s="87"/>
      <c r="I41" s="86"/>
      <c r="J41" s="87"/>
      <c r="K41" s="86"/>
      <c r="L41" s="87"/>
      <c r="M41" s="87"/>
      <c r="N41" s="87"/>
    </row>
    <row r="42" spans="4:14" x14ac:dyDescent="0.3">
      <c r="E42" s="86"/>
      <c r="F42" s="92"/>
      <c r="G42" s="92"/>
      <c r="H42" s="92"/>
      <c r="I42" s="93"/>
      <c r="J42" s="87"/>
      <c r="K42" s="86"/>
      <c r="L42" s="87"/>
      <c r="M42" s="87"/>
      <c r="N42" s="87"/>
    </row>
    <row r="43" spans="4:14" x14ac:dyDescent="0.3">
      <c r="E43" s="86"/>
      <c r="F43" s="90"/>
      <c r="G43" s="86"/>
      <c r="H43" s="90"/>
      <c r="I43" s="86"/>
      <c r="J43" s="87"/>
      <c r="K43" s="86"/>
      <c r="L43" s="87"/>
      <c r="M43" s="87"/>
      <c r="N43" s="87"/>
    </row>
    <row r="44" spans="4:14" x14ac:dyDescent="0.3">
      <c r="E44" s="86"/>
      <c r="F44" s="90"/>
      <c r="G44" s="90"/>
      <c r="H44" s="94"/>
      <c r="I44" s="86"/>
      <c r="J44" s="87"/>
      <c r="K44" s="86"/>
      <c r="L44" s="87"/>
      <c r="M44" s="87"/>
      <c r="N44" s="87"/>
    </row>
    <row r="45" spans="4:14" x14ac:dyDescent="0.3">
      <c r="E45" s="86"/>
      <c r="F45" s="90"/>
      <c r="G45" s="90"/>
      <c r="H45" s="90"/>
      <c r="I45" s="86"/>
      <c r="J45" s="87"/>
      <c r="K45" s="86"/>
      <c r="L45" s="87"/>
      <c r="M45" s="87"/>
      <c r="N45" s="87"/>
    </row>
    <row r="46" spans="4:14" x14ac:dyDescent="0.3">
      <c r="E46" s="86"/>
      <c r="F46" s="90"/>
      <c r="G46" s="95"/>
      <c r="H46" s="90"/>
      <c r="I46" s="86"/>
      <c r="J46" s="87"/>
      <c r="K46" s="86"/>
      <c r="L46" s="87"/>
      <c r="M46" s="87"/>
      <c r="N46" s="87"/>
    </row>
    <row r="47" spans="4:14" x14ac:dyDescent="0.3">
      <c r="E47" s="86"/>
      <c r="F47" s="90"/>
      <c r="G47" s="90"/>
      <c r="H47" s="90"/>
      <c r="I47" s="86"/>
      <c r="J47" s="87"/>
      <c r="K47" s="86"/>
      <c r="L47" s="87"/>
      <c r="M47" s="87"/>
      <c r="N47" s="87"/>
    </row>
    <row r="48" spans="4:14" x14ac:dyDescent="0.3">
      <c r="E48" s="86"/>
      <c r="F48" s="90"/>
      <c r="G48" s="90"/>
      <c r="H48" s="90"/>
      <c r="I48" s="86"/>
      <c r="J48" s="87"/>
      <c r="K48" s="86"/>
      <c r="L48" s="87"/>
      <c r="M48" s="87"/>
      <c r="N48" s="87"/>
    </row>
    <row r="49" spans="5:14" x14ac:dyDescent="0.3">
      <c r="E49" s="86"/>
      <c r="F49" s="90"/>
      <c r="G49" s="90"/>
      <c r="H49" s="90"/>
      <c r="I49" s="86"/>
      <c r="J49" s="87"/>
      <c r="K49" s="86"/>
      <c r="L49" s="87"/>
      <c r="M49" s="87"/>
      <c r="N49" s="87"/>
    </row>
    <row r="50" spans="5:14" x14ac:dyDescent="0.3">
      <c r="E50" s="86"/>
      <c r="F50" s="90"/>
      <c r="G50" s="90"/>
      <c r="H50" s="90"/>
      <c r="I50" s="86"/>
      <c r="J50" s="87"/>
      <c r="K50" s="86"/>
      <c r="L50" s="87"/>
      <c r="M50" s="87"/>
      <c r="N50" s="87"/>
    </row>
    <row r="51" spans="5:14" x14ac:dyDescent="0.3">
      <c r="E51" s="86"/>
      <c r="F51" s="90"/>
      <c r="G51" s="90"/>
      <c r="H51" s="90"/>
      <c r="I51" s="86"/>
      <c r="J51" s="87"/>
      <c r="K51" s="86"/>
      <c r="L51" s="87"/>
      <c r="M51" s="87"/>
      <c r="N51" s="87"/>
    </row>
    <row r="52" spans="5:14" x14ac:dyDescent="0.3">
      <c r="E52" s="86"/>
      <c r="F52" s="90"/>
      <c r="G52" s="90"/>
      <c r="H52" s="90"/>
      <c r="I52" s="86"/>
      <c r="J52" s="87"/>
      <c r="K52" s="86"/>
      <c r="L52" s="87"/>
      <c r="M52" s="87"/>
      <c r="N52" s="87"/>
    </row>
    <row r="53" spans="5:14" x14ac:dyDescent="0.3">
      <c r="E53" s="86"/>
      <c r="F53" s="87"/>
      <c r="G53" s="87"/>
      <c r="H53" s="87"/>
      <c r="I53" s="86"/>
      <c r="J53" s="87"/>
      <c r="K53" s="86"/>
      <c r="L53" s="87"/>
      <c r="M53" s="87"/>
      <c r="N53" s="87"/>
    </row>
    <row r="54" spans="5:14" x14ac:dyDescent="0.3">
      <c r="E54" s="86"/>
      <c r="F54" s="87"/>
      <c r="G54" s="87"/>
      <c r="H54" s="87"/>
      <c r="I54" s="86"/>
      <c r="J54" s="87"/>
      <c r="K54" s="86"/>
      <c r="L54" s="87"/>
      <c r="M54" s="87"/>
      <c r="N54" s="87"/>
    </row>
    <row r="55" spans="5:14" x14ac:dyDescent="0.3">
      <c r="E55" s="86"/>
      <c r="F55" s="87"/>
      <c r="G55" s="87"/>
      <c r="H55" s="87"/>
      <c r="I55" s="86"/>
      <c r="J55" s="87"/>
      <c r="K55" s="86"/>
      <c r="L55" s="87"/>
      <c r="M55" s="87"/>
      <c r="N55" s="87"/>
    </row>
    <row r="56" spans="5:14" x14ac:dyDescent="0.3">
      <c r="E56" s="86"/>
      <c r="F56" s="87"/>
      <c r="G56" s="87"/>
      <c r="H56" s="87"/>
      <c r="I56" s="86"/>
      <c r="J56" s="87"/>
      <c r="K56" s="86"/>
      <c r="L56" s="87"/>
      <c r="M56" s="87"/>
      <c r="N56" s="87"/>
    </row>
    <row r="57" spans="5:14" x14ac:dyDescent="0.3">
      <c r="E57" s="86"/>
      <c r="F57" s="87"/>
      <c r="G57" s="87"/>
      <c r="H57" s="87"/>
      <c r="I57" s="86"/>
      <c r="J57" s="87"/>
      <c r="K57" s="86"/>
      <c r="L57" s="87"/>
      <c r="M57" s="87"/>
      <c r="N57" s="87"/>
    </row>
    <row r="58" spans="5:14" x14ac:dyDescent="0.3">
      <c r="E58" s="86"/>
      <c r="F58" s="96"/>
      <c r="G58" s="87"/>
      <c r="H58" s="87"/>
      <c r="I58" s="86"/>
      <c r="J58" s="87"/>
      <c r="K58" s="86"/>
      <c r="L58" s="87"/>
      <c r="M58" s="87"/>
      <c r="N58" s="87"/>
    </row>
    <row r="59" spans="5:14" x14ac:dyDescent="0.3">
      <c r="E59" s="86"/>
      <c r="F59" s="96"/>
      <c r="G59" s="87"/>
      <c r="H59" s="87"/>
      <c r="I59" s="86"/>
      <c r="J59" s="87"/>
      <c r="K59" s="86"/>
      <c r="L59" s="87"/>
      <c r="M59" s="87"/>
      <c r="N59" s="87"/>
    </row>
    <row r="60" spans="5:14" x14ac:dyDescent="0.3">
      <c r="E60" s="86"/>
      <c r="F60" s="96"/>
      <c r="G60" s="87"/>
      <c r="H60" s="87"/>
      <c r="I60" s="86"/>
      <c r="J60" s="87"/>
      <c r="K60" s="86"/>
      <c r="L60" s="87"/>
      <c r="M60" s="87"/>
      <c r="N60" s="87"/>
    </row>
    <row r="61" spans="5:14" x14ac:dyDescent="0.3">
      <c r="E61" s="86"/>
      <c r="F61" s="96"/>
      <c r="G61" s="87"/>
      <c r="H61" s="87"/>
      <c r="I61" s="86"/>
      <c r="J61" s="87"/>
      <c r="K61" s="86"/>
      <c r="L61" s="87"/>
      <c r="M61" s="87"/>
      <c r="N61" s="87"/>
    </row>
    <row r="62" spans="5:14" x14ac:dyDescent="0.3">
      <c r="E62" s="86"/>
      <c r="F62" s="96"/>
      <c r="G62" s="87"/>
      <c r="H62" s="87"/>
      <c r="I62" s="86"/>
      <c r="J62" s="87"/>
      <c r="K62" s="86"/>
      <c r="L62" s="87"/>
      <c r="M62" s="87"/>
      <c r="N62" s="87"/>
    </row>
    <row r="63" spans="5:14" x14ac:dyDescent="0.3">
      <c r="E63" s="86"/>
      <c r="F63" s="96"/>
      <c r="G63" s="87"/>
      <c r="H63" s="87"/>
      <c r="I63" s="86"/>
      <c r="J63" s="87"/>
      <c r="K63" s="86"/>
      <c r="L63" s="87"/>
      <c r="M63" s="87"/>
      <c r="N63" s="87"/>
    </row>
    <row r="64" spans="5:14" x14ac:dyDescent="0.3">
      <c r="E64" s="86"/>
      <c r="F64" s="96"/>
      <c r="G64" s="87"/>
      <c r="H64" s="87"/>
      <c r="I64" s="86"/>
      <c r="J64" s="87"/>
      <c r="K64" s="86"/>
      <c r="L64" s="87"/>
      <c r="M64" s="87"/>
      <c r="N64" s="87"/>
    </row>
    <row r="65" spans="5:14" x14ac:dyDescent="0.3">
      <c r="E65" s="86"/>
      <c r="F65" s="96"/>
      <c r="G65" s="87"/>
      <c r="H65" s="87"/>
      <c r="I65" s="86"/>
      <c r="J65" s="87"/>
      <c r="K65" s="86"/>
      <c r="L65" s="87"/>
      <c r="M65" s="87"/>
      <c r="N65" s="87"/>
    </row>
    <row r="66" spans="5:14" x14ac:dyDescent="0.3">
      <c r="E66" s="86"/>
      <c r="F66" s="96"/>
      <c r="G66" s="87"/>
      <c r="H66" s="87"/>
      <c r="I66" s="86"/>
      <c r="J66" s="87"/>
      <c r="K66" s="86"/>
      <c r="L66" s="87"/>
      <c r="M66" s="87"/>
      <c r="N66" s="87"/>
    </row>
    <row r="67" spans="5:14" x14ac:dyDescent="0.3">
      <c r="E67" s="86"/>
      <c r="F67" s="96"/>
      <c r="G67" s="87"/>
      <c r="H67" s="87"/>
      <c r="I67" s="86"/>
      <c r="J67" s="87"/>
      <c r="K67" s="86"/>
      <c r="L67" s="87"/>
      <c r="M67" s="87"/>
      <c r="N67" s="87"/>
    </row>
    <row r="68" spans="5:14" x14ac:dyDescent="0.3">
      <c r="E68" s="86"/>
      <c r="F68" s="87"/>
      <c r="G68" s="87"/>
      <c r="H68" s="87"/>
      <c r="I68" s="86"/>
      <c r="J68" s="87"/>
      <c r="K68" s="86"/>
      <c r="L68" s="87"/>
      <c r="M68" s="87"/>
      <c r="N68" s="87"/>
    </row>
    <row r="69" spans="5:14" x14ac:dyDescent="0.3">
      <c r="E69" s="86"/>
      <c r="F69" s="87"/>
      <c r="G69" s="87"/>
      <c r="H69" s="87"/>
      <c r="I69" s="86"/>
      <c r="J69" s="87"/>
      <c r="K69" s="86"/>
      <c r="L69" s="87"/>
      <c r="M69" s="87"/>
      <c r="N69" s="87"/>
    </row>
    <row r="70" spans="5:14" x14ac:dyDescent="0.3">
      <c r="E70" s="86"/>
      <c r="F70" s="87"/>
      <c r="G70" s="87"/>
      <c r="H70" s="87"/>
      <c r="I70" s="86"/>
      <c r="J70" s="87"/>
      <c r="K70" s="86"/>
      <c r="L70" s="87"/>
      <c r="M70" s="87"/>
      <c r="N70" s="87"/>
    </row>
    <row r="71" spans="5:14" x14ac:dyDescent="0.3">
      <c r="E71" s="86"/>
      <c r="F71" s="87"/>
      <c r="G71" s="87"/>
      <c r="H71" s="87"/>
      <c r="I71" s="86"/>
      <c r="J71" s="87"/>
      <c r="K71" s="86"/>
      <c r="L71" s="87"/>
      <c r="M71" s="87"/>
      <c r="N71" s="87"/>
    </row>
    <row r="72" spans="5:14" x14ac:dyDescent="0.3">
      <c r="E72" s="86"/>
      <c r="F72" s="87"/>
      <c r="G72" s="87"/>
      <c r="H72" s="87"/>
      <c r="I72" s="86"/>
      <c r="J72" s="87"/>
      <c r="K72" s="86"/>
      <c r="L72" s="87"/>
      <c r="M72" s="87"/>
      <c r="N72" s="87"/>
    </row>
    <row r="73" spans="5:14" x14ac:dyDescent="0.3">
      <c r="E73" s="86"/>
      <c r="F73" s="87"/>
      <c r="G73" s="87"/>
      <c r="H73" s="87"/>
      <c r="I73" s="86"/>
      <c r="J73" s="87"/>
      <c r="K73" s="86"/>
      <c r="L73" s="87"/>
      <c r="M73" s="87"/>
      <c r="N73" s="87"/>
    </row>
    <row r="74" spans="5:14" x14ac:dyDescent="0.3">
      <c r="E74" s="86"/>
      <c r="F74" s="87"/>
      <c r="G74" s="87"/>
      <c r="H74" s="87"/>
      <c r="I74" s="86"/>
      <c r="J74" s="87"/>
      <c r="K74" s="86"/>
      <c r="L74" s="87"/>
      <c r="M74" s="87"/>
      <c r="N74" s="87"/>
    </row>
    <row r="75" spans="5:14" x14ac:dyDescent="0.3">
      <c r="E75" s="86"/>
      <c r="F75" s="87"/>
      <c r="G75" s="87"/>
      <c r="H75" s="87"/>
      <c r="I75" s="86"/>
      <c r="J75" s="87"/>
      <c r="K75" s="86"/>
      <c r="L75" s="87"/>
      <c r="M75" s="87"/>
      <c r="N75" s="87"/>
    </row>
    <row r="76" spans="5:14" x14ac:dyDescent="0.3">
      <c r="E76" s="86"/>
      <c r="F76" s="87"/>
      <c r="G76" s="87"/>
      <c r="H76" s="87"/>
      <c r="I76" s="86"/>
      <c r="J76" s="87"/>
      <c r="K76" s="86"/>
      <c r="L76" s="87"/>
      <c r="M76" s="87"/>
      <c r="N76" s="87"/>
    </row>
    <row r="77" spans="5:14" x14ac:dyDescent="0.3">
      <c r="E77" s="86"/>
      <c r="F77" s="87"/>
      <c r="G77" s="87"/>
      <c r="H77" s="87"/>
      <c r="I77" s="86"/>
      <c r="J77" s="87"/>
      <c r="K77" s="86"/>
      <c r="L77" s="87"/>
      <c r="M77" s="87"/>
      <c r="N77" s="87"/>
    </row>
    <row r="78" spans="5:14" x14ac:dyDescent="0.3">
      <c r="E78" s="86"/>
      <c r="F78" s="87"/>
      <c r="G78" s="87"/>
      <c r="H78" s="87"/>
      <c r="I78" s="86"/>
      <c r="J78" s="87"/>
      <c r="K78" s="86"/>
      <c r="L78" s="87"/>
      <c r="M78" s="87"/>
      <c r="N78" s="87"/>
    </row>
    <row r="79" spans="5:14" x14ac:dyDescent="0.3">
      <c r="E79" s="86"/>
      <c r="F79" s="87"/>
      <c r="G79" s="87"/>
      <c r="H79" s="87"/>
      <c r="I79" s="86"/>
      <c r="J79" s="87"/>
      <c r="K79" s="86"/>
      <c r="L79" s="87"/>
      <c r="M79" s="87"/>
      <c r="N79" s="87"/>
    </row>
    <row r="80" spans="5:14" x14ac:dyDescent="0.3">
      <c r="E80" s="86"/>
      <c r="F80" s="87"/>
      <c r="G80" s="87"/>
      <c r="H80" s="87"/>
      <c r="I80" s="86"/>
      <c r="J80" s="87"/>
      <c r="K80" s="86"/>
      <c r="L80" s="87"/>
      <c r="M80" s="87"/>
      <c r="N80" s="87"/>
    </row>
    <row r="81" spans="5:14" x14ac:dyDescent="0.3">
      <c r="E81" s="86"/>
      <c r="F81" s="87"/>
      <c r="G81" s="87"/>
      <c r="H81" s="87"/>
      <c r="I81" s="86"/>
      <c r="J81" s="87"/>
      <c r="K81" s="86"/>
      <c r="L81" s="87"/>
      <c r="M81" s="87"/>
      <c r="N81" s="87"/>
    </row>
    <row r="82" spans="5:14" x14ac:dyDescent="0.3">
      <c r="E82" s="86"/>
      <c r="F82" s="87"/>
      <c r="G82" s="87"/>
      <c r="H82" s="87"/>
      <c r="I82" s="86"/>
      <c r="J82" s="87"/>
      <c r="K82" s="86"/>
      <c r="L82" s="87"/>
      <c r="M82" s="87"/>
      <c r="N82" s="87"/>
    </row>
    <row r="83" spans="5:14" x14ac:dyDescent="0.3">
      <c r="E83" s="86"/>
      <c r="F83" s="87"/>
      <c r="G83" s="87"/>
      <c r="H83" s="87"/>
      <c r="I83" s="86"/>
      <c r="J83" s="87"/>
      <c r="K83" s="86"/>
      <c r="L83" s="87"/>
      <c r="M83" s="87"/>
      <c r="N83" s="87"/>
    </row>
    <row r="84" spans="5:14" x14ac:dyDescent="0.3">
      <c r="E84" s="86"/>
      <c r="F84" s="87"/>
      <c r="G84" s="87"/>
      <c r="H84" s="87"/>
      <c r="I84" s="86"/>
      <c r="J84" s="87"/>
      <c r="K84" s="86"/>
      <c r="L84" s="87"/>
      <c r="M84" s="87"/>
      <c r="N84" s="87"/>
    </row>
    <row r="85" spans="5:14" x14ac:dyDescent="0.3">
      <c r="E85" s="86"/>
      <c r="F85" s="87"/>
      <c r="G85" s="87"/>
      <c r="H85" s="87"/>
      <c r="I85" s="86"/>
      <c r="J85" s="87"/>
      <c r="K85" s="86"/>
      <c r="L85" s="87"/>
      <c r="M85" s="87"/>
      <c r="N85" s="87"/>
    </row>
    <row r="86" spans="5:14" x14ac:dyDescent="0.3">
      <c r="E86" s="86"/>
      <c r="F86" s="87"/>
      <c r="G86" s="87"/>
      <c r="H86" s="87"/>
      <c r="I86" s="86"/>
      <c r="J86" s="87"/>
      <c r="K86" s="86"/>
      <c r="L86" s="87"/>
      <c r="M86" s="87"/>
      <c r="N86" s="87"/>
    </row>
    <row r="87" spans="5:14" x14ac:dyDescent="0.3">
      <c r="E87" s="86"/>
      <c r="F87" s="87"/>
      <c r="G87" s="87"/>
      <c r="H87" s="87"/>
      <c r="I87" s="86"/>
      <c r="J87" s="87"/>
      <c r="K87" s="86"/>
      <c r="L87" s="87"/>
      <c r="M87" s="87"/>
      <c r="N87" s="87"/>
    </row>
    <row r="88" spans="5:14" x14ac:dyDescent="0.3">
      <c r="E88" s="86"/>
      <c r="F88" s="87"/>
      <c r="G88" s="87"/>
      <c r="H88" s="87"/>
      <c r="I88" s="86"/>
      <c r="J88" s="87"/>
      <c r="K88" s="86"/>
      <c r="L88" s="87"/>
      <c r="M88" s="87"/>
      <c r="N88" s="87"/>
    </row>
    <row r="89" spans="5:14" x14ac:dyDescent="0.3">
      <c r="E89" s="86"/>
      <c r="F89" s="87"/>
      <c r="G89" s="87"/>
      <c r="H89" s="87"/>
      <c r="I89" s="86"/>
      <c r="J89" s="87"/>
      <c r="K89" s="86"/>
      <c r="L89" s="87"/>
      <c r="M89" s="87"/>
      <c r="N89" s="87"/>
    </row>
    <row r="90" spans="5:14" x14ac:dyDescent="0.3">
      <c r="E90" s="86"/>
      <c r="F90" s="87"/>
      <c r="G90" s="87"/>
      <c r="H90" s="87"/>
      <c r="I90" s="86"/>
      <c r="J90" s="87"/>
      <c r="K90" s="86"/>
      <c r="L90" s="87"/>
      <c r="M90" s="87"/>
      <c r="N90" s="87"/>
    </row>
    <row r="91" spans="5:14" x14ac:dyDescent="0.3">
      <c r="E91" s="86"/>
      <c r="F91" s="87"/>
      <c r="G91" s="87"/>
      <c r="H91" s="87"/>
      <c r="I91" s="86"/>
      <c r="J91" s="87"/>
      <c r="K91" s="86"/>
      <c r="L91" s="87"/>
      <c r="M91" s="87"/>
      <c r="N91" s="87"/>
    </row>
    <row r="92" spans="5:14" x14ac:dyDescent="0.3">
      <c r="E92" s="86"/>
      <c r="F92" s="87"/>
      <c r="G92" s="87"/>
      <c r="H92" s="87"/>
      <c r="I92" s="86"/>
      <c r="J92" s="87"/>
      <c r="K92" s="86"/>
      <c r="L92" s="87"/>
      <c r="M92" s="87"/>
      <c r="N92" s="87"/>
    </row>
    <row r="93" spans="5:14" x14ac:dyDescent="0.3">
      <c r="E93" s="86"/>
      <c r="F93" s="87"/>
      <c r="G93" s="87"/>
      <c r="H93" s="87"/>
      <c r="I93" s="86"/>
      <c r="J93" s="87"/>
      <c r="K93" s="86"/>
      <c r="L93" s="87"/>
      <c r="M93" s="87"/>
      <c r="N93" s="87"/>
    </row>
    <row r="94" spans="5:14" x14ac:dyDescent="0.3">
      <c r="E94" s="86"/>
      <c r="F94" s="87"/>
      <c r="G94" s="87"/>
      <c r="H94" s="87"/>
      <c r="I94" s="86"/>
      <c r="J94" s="87"/>
      <c r="K94" s="86"/>
      <c r="L94" s="87"/>
      <c r="M94" s="87"/>
      <c r="N94" s="87"/>
    </row>
    <row r="95" spans="5:14" x14ac:dyDescent="0.3">
      <c r="E95" s="86"/>
      <c r="F95" s="87"/>
      <c r="G95" s="87"/>
      <c r="H95" s="87"/>
      <c r="I95" s="86"/>
      <c r="J95" s="87"/>
      <c r="K95" s="86"/>
      <c r="L95" s="87"/>
      <c r="M95" s="87"/>
      <c r="N95" s="87"/>
    </row>
    <row r="96" spans="5:14" x14ac:dyDescent="0.3">
      <c r="E96" s="86"/>
      <c r="F96" s="87"/>
      <c r="G96" s="87"/>
      <c r="H96" s="87"/>
      <c r="I96" s="86"/>
      <c r="J96" s="87"/>
      <c r="K96" s="86"/>
      <c r="L96" s="87"/>
      <c r="M96" s="87"/>
      <c r="N96" s="87"/>
    </row>
    <row r="97" spans="5:14" x14ac:dyDescent="0.3">
      <c r="E97" s="86"/>
      <c r="F97" s="87"/>
      <c r="G97" s="87"/>
      <c r="H97" s="87"/>
      <c r="I97" s="86"/>
      <c r="J97" s="87"/>
      <c r="K97" s="86"/>
      <c r="L97" s="87"/>
      <c r="M97" s="87"/>
      <c r="N97" s="87"/>
    </row>
    <row r="98" spans="5:14" x14ac:dyDescent="0.3">
      <c r="E98" s="86"/>
      <c r="F98" s="87"/>
      <c r="G98" s="87"/>
      <c r="H98" s="87"/>
      <c r="I98" s="86"/>
      <c r="J98" s="87"/>
      <c r="K98" s="86"/>
      <c r="L98" s="87"/>
      <c r="M98" s="87"/>
      <c r="N98" s="87"/>
    </row>
    <row r="99" spans="5:14" x14ac:dyDescent="0.3">
      <c r="E99" s="86"/>
      <c r="F99" s="87"/>
      <c r="G99" s="87"/>
      <c r="H99" s="87"/>
      <c r="I99" s="86"/>
      <c r="J99" s="87"/>
      <c r="K99" s="86"/>
      <c r="L99" s="87"/>
      <c r="M99" s="87"/>
      <c r="N99" s="87"/>
    </row>
    <row r="100" spans="5:14" x14ac:dyDescent="0.3">
      <c r="E100" s="86"/>
      <c r="F100" s="87"/>
      <c r="G100" s="87"/>
      <c r="H100" s="87"/>
      <c r="I100" s="86"/>
      <c r="J100" s="87"/>
      <c r="K100" s="86"/>
      <c r="L100" s="87"/>
      <c r="M100" s="87"/>
      <c r="N100" s="87"/>
    </row>
    <row r="101" spans="5:14" x14ac:dyDescent="0.3">
      <c r="E101" s="86"/>
      <c r="F101" s="87"/>
      <c r="G101" s="87"/>
      <c r="H101" s="87"/>
      <c r="I101" s="86"/>
      <c r="J101" s="87"/>
      <c r="K101" s="86"/>
      <c r="L101" s="87"/>
      <c r="M101" s="87"/>
      <c r="N101" s="87"/>
    </row>
    <row r="102" spans="5:14" x14ac:dyDescent="0.3">
      <c r="E102" s="86"/>
      <c r="F102" s="87"/>
      <c r="G102" s="87"/>
      <c r="H102" s="87"/>
      <c r="I102" s="86"/>
      <c r="J102" s="87"/>
      <c r="K102" s="86"/>
      <c r="L102" s="87"/>
      <c r="M102" s="87"/>
      <c r="N102" s="87"/>
    </row>
    <row r="103" spans="5:14" x14ac:dyDescent="0.3">
      <c r="E103" s="86"/>
      <c r="F103" s="87"/>
      <c r="G103" s="87"/>
      <c r="H103" s="87"/>
      <c r="I103" s="86"/>
      <c r="J103" s="87"/>
      <c r="K103" s="86"/>
      <c r="L103" s="87"/>
      <c r="M103" s="87"/>
      <c r="N103" s="87"/>
    </row>
    <row r="104" spans="5:14" x14ac:dyDescent="0.3">
      <c r="E104" s="86"/>
      <c r="F104" s="87"/>
      <c r="G104" s="87"/>
      <c r="H104" s="87"/>
      <c r="I104" s="86"/>
      <c r="J104" s="87"/>
      <c r="K104" s="86"/>
      <c r="L104" s="87"/>
      <c r="M104" s="87"/>
      <c r="N104" s="87"/>
    </row>
    <row r="105" spans="5:14" x14ac:dyDescent="0.3">
      <c r="E105" s="86"/>
      <c r="F105" s="87"/>
      <c r="G105" s="87"/>
      <c r="H105" s="87"/>
      <c r="I105" s="86"/>
      <c r="J105" s="87"/>
      <c r="K105" s="86"/>
      <c r="L105" s="87"/>
      <c r="M105" s="87"/>
      <c r="N105" s="87"/>
    </row>
    <row r="106" spans="5:14" x14ac:dyDescent="0.3">
      <c r="E106" s="86"/>
      <c r="F106" s="87"/>
      <c r="G106" s="87"/>
      <c r="H106" s="87"/>
      <c r="I106" s="86"/>
      <c r="J106" s="87"/>
      <c r="K106" s="86"/>
      <c r="L106" s="87"/>
      <c r="M106" s="87"/>
      <c r="N106" s="87"/>
    </row>
    <row r="107" spans="5:14" x14ac:dyDescent="0.3">
      <c r="E107" s="86"/>
      <c r="F107" s="87"/>
      <c r="G107" s="87"/>
      <c r="H107" s="87"/>
      <c r="I107" s="86"/>
      <c r="J107" s="87"/>
      <c r="K107" s="86"/>
      <c r="L107" s="87"/>
      <c r="M107" s="87"/>
      <c r="N107" s="87"/>
    </row>
    <row r="108" spans="5:14" x14ac:dyDescent="0.3">
      <c r="E108" s="86"/>
      <c r="F108" s="87"/>
      <c r="G108" s="87"/>
      <c r="H108" s="87"/>
      <c r="I108" s="86"/>
      <c r="J108" s="87"/>
      <c r="K108" s="86"/>
      <c r="L108" s="87"/>
      <c r="M108" s="87"/>
      <c r="N108" s="87"/>
    </row>
    <row r="109" spans="5:14" x14ac:dyDescent="0.3">
      <c r="E109" s="86"/>
      <c r="F109" s="87"/>
      <c r="G109" s="87"/>
      <c r="H109" s="87"/>
      <c r="I109" s="86"/>
      <c r="J109" s="87"/>
      <c r="K109" s="86"/>
      <c r="L109" s="87"/>
      <c r="M109" s="87"/>
      <c r="N109" s="87"/>
    </row>
    <row r="110" spans="5:14" x14ac:dyDescent="0.3">
      <c r="E110" s="86"/>
      <c r="F110" s="87"/>
      <c r="G110" s="87"/>
      <c r="H110" s="87"/>
      <c r="I110" s="86"/>
      <c r="J110" s="87"/>
      <c r="K110" s="86"/>
      <c r="L110" s="87"/>
      <c r="M110" s="87"/>
      <c r="N110" s="87"/>
    </row>
    <row r="111" spans="5:14" x14ac:dyDescent="0.3">
      <c r="E111" s="86"/>
      <c r="F111" s="87"/>
      <c r="G111" s="87"/>
      <c r="H111" s="87"/>
      <c r="I111" s="86"/>
      <c r="J111" s="87"/>
      <c r="K111" s="86"/>
      <c r="L111" s="87"/>
      <c r="M111" s="87"/>
      <c r="N111" s="87"/>
    </row>
    <row r="112" spans="5:14" x14ac:dyDescent="0.3">
      <c r="E112" s="86"/>
      <c r="F112" s="87"/>
      <c r="G112" s="87"/>
      <c r="H112" s="87"/>
      <c r="I112" s="86"/>
      <c r="J112" s="87"/>
      <c r="K112" s="86"/>
      <c r="L112" s="87"/>
      <c r="M112" s="87"/>
      <c r="N112" s="87"/>
    </row>
    <row r="113" spans="5:14" x14ac:dyDescent="0.3">
      <c r="E113" s="86"/>
      <c r="F113" s="87"/>
      <c r="G113" s="87"/>
      <c r="H113" s="87"/>
      <c r="I113" s="86"/>
      <c r="J113" s="87"/>
      <c r="K113" s="86"/>
      <c r="L113" s="87"/>
      <c r="M113" s="87"/>
      <c r="N113" s="87"/>
    </row>
    <row r="114" spans="5:14" x14ac:dyDescent="0.3">
      <c r="E114" s="86"/>
      <c r="F114" s="87"/>
      <c r="G114" s="87"/>
      <c r="H114" s="87"/>
      <c r="I114" s="86"/>
      <c r="J114" s="87"/>
      <c r="K114" s="86"/>
      <c r="L114" s="87"/>
      <c r="M114" s="87"/>
      <c r="N114" s="87"/>
    </row>
    <row r="115" spans="5:14" x14ac:dyDescent="0.3">
      <c r="E115" s="86"/>
      <c r="F115" s="87"/>
      <c r="G115" s="87"/>
      <c r="H115" s="87"/>
      <c r="I115" s="86"/>
      <c r="J115" s="87"/>
      <c r="K115" s="86"/>
      <c r="L115" s="87"/>
      <c r="M115" s="87"/>
      <c r="N115" s="87"/>
    </row>
    <row r="116" spans="5:14" x14ac:dyDescent="0.3">
      <c r="E116" s="86"/>
      <c r="F116" s="87"/>
      <c r="G116" s="87"/>
      <c r="H116" s="87"/>
      <c r="I116" s="86"/>
      <c r="J116" s="87"/>
      <c r="K116" s="86"/>
      <c r="L116" s="87"/>
      <c r="M116" s="87"/>
      <c r="N116" s="87"/>
    </row>
    <row r="117" spans="5:14" x14ac:dyDescent="0.3">
      <c r="E117" s="86"/>
      <c r="F117" s="87"/>
      <c r="G117" s="87"/>
      <c r="H117" s="87"/>
      <c r="I117" s="86"/>
      <c r="J117" s="87"/>
      <c r="K117" s="86"/>
      <c r="L117" s="87"/>
      <c r="M117" s="87"/>
      <c r="N117" s="87"/>
    </row>
    <row r="118" spans="5:14" x14ac:dyDescent="0.3">
      <c r="E118" s="86"/>
      <c r="F118" s="87"/>
      <c r="G118" s="87"/>
      <c r="H118" s="87"/>
      <c r="I118" s="86"/>
      <c r="J118" s="87"/>
      <c r="K118" s="86"/>
      <c r="L118" s="87"/>
      <c r="M118" s="87"/>
      <c r="N118" s="87"/>
    </row>
    <row r="119" spans="5:14" x14ac:dyDescent="0.3">
      <c r="E119" s="86"/>
      <c r="F119" s="87"/>
      <c r="G119" s="87"/>
      <c r="H119" s="87"/>
      <c r="I119" s="86"/>
      <c r="J119" s="87"/>
      <c r="K119" s="86"/>
      <c r="L119" s="87"/>
      <c r="M119" s="87"/>
      <c r="N119" s="87"/>
    </row>
    <row r="120" spans="5:14" x14ac:dyDescent="0.3">
      <c r="E120" s="86"/>
      <c r="F120" s="87"/>
      <c r="G120" s="87"/>
      <c r="H120" s="87"/>
      <c r="I120" s="86"/>
      <c r="J120" s="87"/>
      <c r="K120" s="86"/>
      <c r="L120" s="87"/>
      <c r="M120" s="87"/>
      <c r="N120" s="87"/>
    </row>
    <row r="121" spans="5:14" x14ac:dyDescent="0.3">
      <c r="E121" s="86"/>
      <c r="F121" s="87"/>
      <c r="G121" s="87"/>
      <c r="H121" s="87"/>
      <c r="I121" s="86"/>
      <c r="J121" s="87"/>
      <c r="K121" s="86"/>
      <c r="L121" s="87"/>
      <c r="M121" s="87"/>
      <c r="N121" s="87"/>
    </row>
    <row r="122" spans="5:14" x14ac:dyDescent="0.3">
      <c r="E122" s="86"/>
      <c r="F122" s="87"/>
      <c r="G122" s="87"/>
      <c r="H122" s="87"/>
      <c r="I122" s="86"/>
      <c r="J122" s="87"/>
      <c r="K122" s="86"/>
      <c r="L122" s="87"/>
      <c r="M122" s="87"/>
      <c r="N122" s="87"/>
    </row>
    <row r="123" spans="5:14" x14ac:dyDescent="0.3">
      <c r="E123" s="86"/>
      <c r="F123" s="87"/>
      <c r="G123" s="87"/>
      <c r="H123" s="87"/>
      <c r="I123" s="86"/>
      <c r="J123" s="87"/>
      <c r="K123" s="86"/>
      <c r="L123" s="87"/>
      <c r="M123" s="87"/>
      <c r="N123" s="87"/>
    </row>
    <row r="124" spans="5:14" x14ac:dyDescent="0.3">
      <c r="E124" s="86"/>
      <c r="F124" s="87"/>
      <c r="G124" s="87"/>
      <c r="H124" s="87"/>
      <c r="I124" s="86"/>
      <c r="J124" s="87"/>
      <c r="K124" s="86"/>
      <c r="L124" s="87"/>
      <c r="M124" s="87"/>
      <c r="N124" s="87"/>
    </row>
    <row r="125" spans="5:14" x14ac:dyDescent="0.3">
      <c r="E125" s="86"/>
      <c r="F125" s="87"/>
      <c r="G125" s="87"/>
      <c r="H125" s="87"/>
      <c r="I125" s="86"/>
      <c r="J125" s="87"/>
      <c r="K125" s="86"/>
      <c r="L125" s="87"/>
      <c r="M125" s="87"/>
      <c r="N125" s="87"/>
    </row>
    <row r="126" spans="5:14" x14ac:dyDescent="0.3">
      <c r="E126" s="86"/>
      <c r="F126" s="87"/>
      <c r="G126" s="87"/>
      <c r="H126" s="87"/>
      <c r="I126" s="86"/>
      <c r="J126" s="87"/>
      <c r="K126" s="86"/>
      <c r="L126" s="87"/>
      <c r="M126" s="87"/>
      <c r="N126" s="87"/>
    </row>
    <row r="127" spans="5:14" x14ac:dyDescent="0.3">
      <c r="E127" s="86"/>
      <c r="F127" s="87"/>
      <c r="G127" s="87"/>
      <c r="H127" s="87"/>
      <c r="I127" s="86"/>
      <c r="J127" s="87"/>
      <c r="K127" s="86"/>
      <c r="L127" s="87"/>
      <c r="M127" s="87"/>
      <c r="N127" s="87"/>
    </row>
    <row r="128" spans="5:14" x14ac:dyDescent="0.3">
      <c r="E128" s="86"/>
      <c r="F128" s="87"/>
      <c r="G128" s="87"/>
      <c r="H128" s="87"/>
      <c r="I128" s="86"/>
      <c r="J128" s="87"/>
      <c r="K128" s="86"/>
      <c r="L128" s="87"/>
      <c r="M128" s="87"/>
      <c r="N128" s="87"/>
    </row>
    <row r="129" spans="5:14" x14ac:dyDescent="0.3">
      <c r="E129" s="86"/>
      <c r="F129" s="87"/>
      <c r="G129" s="87"/>
      <c r="H129" s="87"/>
      <c r="I129" s="86"/>
      <c r="J129" s="87"/>
      <c r="K129" s="86"/>
      <c r="L129" s="87"/>
      <c r="M129" s="87"/>
      <c r="N129" s="87"/>
    </row>
    <row r="130" spans="5:14" x14ac:dyDescent="0.3">
      <c r="E130" s="86"/>
      <c r="F130" s="87"/>
      <c r="G130" s="87"/>
      <c r="H130" s="87"/>
      <c r="I130" s="86"/>
      <c r="J130" s="87"/>
      <c r="K130" s="86"/>
      <c r="L130" s="87"/>
      <c r="M130" s="87"/>
      <c r="N130" s="87"/>
    </row>
    <row r="131" spans="5:14" x14ac:dyDescent="0.3">
      <c r="E131" s="86"/>
      <c r="F131" s="87"/>
      <c r="G131" s="87"/>
      <c r="H131" s="87"/>
      <c r="I131" s="86"/>
      <c r="J131" s="87"/>
      <c r="K131" s="86"/>
      <c r="L131" s="87"/>
      <c r="M131" s="87"/>
      <c r="N131" s="87"/>
    </row>
    <row r="132" spans="5:14" x14ac:dyDescent="0.3">
      <c r="E132" s="86"/>
      <c r="F132" s="87"/>
      <c r="G132" s="87"/>
      <c r="H132" s="87"/>
      <c r="I132" s="86"/>
      <c r="J132" s="87"/>
      <c r="K132" s="86"/>
      <c r="L132" s="87"/>
      <c r="M132" s="87"/>
      <c r="N132" s="87"/>
    </row>
    <row r="133" spans="5:14" x14ac:dyDescent="0.3">
      <c r="E133" s="86"/>
      <c r="F133" s="87"/>
      <c r="G133" s="87"/>
      <c r="H133" s="87"/>
      <c r="I133" s="86"/>
      <c r="J133" s="87"/>
      <c r="K133" s="86"/>
      <c r="L133" s="87"/>
      <c r="M133" s="87"/>
      <c r="N133" s="87"/>
    </row>
    <row r="134" spans="5:14" x14ac:dyDescent="0.3">
      <c r="E134" s="86"/>
      <c r="F134" s="87"/>
      <c r="G134" s="87"/>
      <c r="H134" s="87"/>
      <c r="I134" s="86"/>
      <c r="J134" s="87"/>
      <c r="K134" s="86"/>
      <c r="L134" s="87"/>
      <c r="M134" s="87"/>
      <c r="N134" s="87"/>
    </row>
    <row r="135" spans="5:14" x14ac:dyDescent="0.3">
      <c r="E135" s="86"/>
      <c r="F135" s="87"/>
      <c r="G135" s="87"/>
      <c r="H135" s="87"/>
      <c r="I135" s="86"/>
      <c r="J135" s="87"/>
      <c r="K135" s="86"/>
      <c r="L135" s="87"/>
      <c r="M135" s="87"/>
      <c r="N135" s="87"/>
    </row>
    <row r="136" spans="5:14" x14ac:dyDescent="0.3">
      <c r="E136" s="86"/>
      <c r="F136" s="87"/>
      <c r="G136" s="87"/>
      <c r="H136" s="87"/>
      <c r="I136" s="86"/>
      <c r="J136" s="87"/>
      <c r="K136" s="86"/>
      <c r="L136" s="87"/>
      <c r="M136" s="87"/>
      <c r="N136" s="87"/>
    </row>
    <row r="137" spans="5:14" x14ac:dyDescent="0.3">
      <c r="E137" s="86"/>
      <c r="F137" s="87"/>
      <c r="G137" s="87"/>
      <c r="H137" s="87"/>
      <c r="I137" s="86"/>
      <c r="J137" s="87"/>
      <c r="K137" s="86"/>
      <c r="L137" s="87"/>
      <c r="M137" s="87"/>
      <c r="N137" s="87"/>
    </row>
    <row r="138" spans="5:14" x14ac:dyDescent="0.3">
      <c r="E138" s="86"/>
      <c r="F138" s="87"/>
      <c r="G138" s="87"/>
      <c r="H138" s="87"/>
      <c r="I138" s="86"/>
      <c r="J138" s="87"/>
      <c r="K138" s="86"/>
      <c r="L138" s="87"/>
      <c r="M138" s="87"/>
      <c r="N138" s="87"/>
    </row>
    <row r="139" spans="5:14" x14ac:dyDescent="0.3">
      <c r="E139" s="86"/>
      <c r="F139" s="87"/>
      <c r="G139" s="87"/>
      <c r="H139" s="87"/>
      <c r="I139" s="86"/>
      <c r="J139" s="87"/>
      <c r="K139" s="86"/>
      <c r="L139" s="87"/>
      <c r="M139" s="87"/>
      <c r="N139" s="87"/>
    </row>
    <row r="140" spans="5:14" x14ac:dyDescent="0.3">
      <c r="E140" s="86"/>
      <c r="F140" s="87"/>
      <c r="G140" s="87"/>
      <c r="H140" s="87"/>
      <c r="I140" s="86"/>
      <c r="J140" s="87"/>
      <c r="K140" s="86"/>
      <c r="L140" s="87"/>
      <c r="M140" s="87"/>
      <c r="N140" s="87"/>
    </row>
    <row r="141" spans="5:14" x14ac:dyDescent="0.3">
      <c r="E141" s="86"/>
      <c r="F141" s="87"/>
      <c r="G141" s="87"/>
      <c r="H141" s="87"/>
      <c r="I141" s="86"/>
      <c r="J141" s="87"/>
      <c r="K141" s="86"/>
      <c r="L141" s="87"/>
      <c r="M141" s="87"/>
      <c r="N141" s="87"/>
    </row>
    <row r="142" spans="5:14" x14ac:dyDescent="0.3">
      <c r="E142" s="86"/>
      <c r="F142" s="87"/>
      <c r="G142" s="87"/>
      <c r="H142" s="87"/>
      <c r="I142" s="86"/>
      <c r="J142" s="87"/>
      <c r="K142" s="86"/>
      <c r="L142" s="87"/>
      <c r="M142" s="87"/>
      <c r="N142" s="87"/>
    </row>
    <row r="143" spans="5:14" x14ac:dyDescent="0.3">
      <c r="E143" s="86"/>
      <c r="F143" s="87"/>
      <c r="G143" s="87"/>
      <c r="H143" s="87"/>
      <c r="I143" s="86"/>
      <c r="J143" s="87"/>
      <c r="K143" s="86"/>
      <c r="L143" s="87"/>
      <c r="M143" s="87"/>
      <c r="N143" s="87"/>
    </row>
    <row r="144" spans="5:14" x14ac:dyDescent="0.3">
      <c r="E144" s="86"/>
      <c r="F144" s="87"/>
      <c r="G144" s="87"/>
      <c r="H144" s="87"/>
      <c r="I144" s="86"/>
      <c r="J144" s="87"/>
      <c r="K144" s="86"/>
      <c r="L144" s="87"/>
      <c r="M144" s="87"/>
      <c r="N144" s="87"/>
    </row>
    <row r="145" spans="5:14" x14ac:dyDescent="0.3">
      <c r="E145" s="86"/>
      <c r="F145" s="87"/>
      <c r="G145" s="87"/>
      <c r="H145" s="87"/>
      <c r="I145" s="86"/>
      <c r="J145" s="87"/>
      <c r="K145" s="86"/>
      <c r="L145" s="87"/>
      <c r="M145" s="87"/>
      <c r="N145" s="87"/>
    </row>
    <row r="146" spans="5:14" x14ac:dyDescent="0.3">
      <c r="E146" s="86"/>
      <c r="F146" s="87"/>
      <c r="G146" s="87"/>
      <c r="H146" s="87"/>
      <c r="I146" s="86"/>
      <c r="J146" s="87"/>
      <c r="K146" s="86"/>
      <c r="L146" s="87"/>
      <c r="M146" s="87"/>
      <c r="N146" s="87"/>
    </row>
    <row r="147" spans="5:14" x14ac:dyDescent="0.3">
      <c r="E147" s="86"/>
      <c r="F147" s="87"/>
      <c r="G147" s="87"/>
      <c r="H147" s="87"/>
      <c r="I147" s="86"/>
      <c r="J147" s="87"/>
      <c r="K147" s="86"/>
      <c r="L147" s="87"/>
      <c r="M147" s="87"/>
      <c r="N147" s="87"/>
    </row>
    <row r="148" spans="5:14" x14ac:dyDescent="0.3">
      <c r="E148" s="86"/>
      <c r="F148" s="87"/>
      <c r="G148" s="87"/>
      <c r="H148" s="87"/>
      <c r="I148" s="86"/>
      <c r="J148" s="87"/>
      <c r="K148" s="86"/>
      <c r="L148" s="87"/>
      <c r="M148" s="87"/>
      <c r="N148" s="87"/>
    </row>
    <row r="149" spans="5:14" x14ac:dyDescent="0.3">
      <c r="E149" s="86"/>
      <c r="F149" s="87"/>
      <c r="G149" s="87"/>
      <c r="H149" s="87"/>
      <c r="I149" s="86"/>
      <c r="J149" s="87"/>
      <c r="K149" s="86"/>
      <c r="L149" s="87"/>
      <c r="M149" s="87"/>
      <c r="N149" s="87"/>
    </row>
    <row r="150" spans="5:14" x14ac:dyDescent="0.3">
      <c r="E150" s="86"/>
      <c r="F150" s="87"/>
      <c r="G150" s="87"/>
      <c r="H150" s="87"/>
      <c r="I150" s="86"/>
      <c r="J150" s="87"/>
      <c r="K150" s="86"/>
      <c r="L150" s="87"/>
      <c r="M150" s="87"/>
      <c r="N150" s="87"/>
    </row>
    <row r="151" spans="5:14" x14ac:dyDescent="0.3">
      <c r="E151" s="86"/>
      <c r="F151" s="87"/>
      <c r="G151" s="87"/>
      <c r="H151" s="87"/>
      <c r="I151" s="86"/>
      <c r="J151" s="87"/>
      <c r="K151" s="86"/>
      <c r="L151" s="87"/>
      <c r="M151" s="87"/>
      <c r="N151" s="87"/>
    </row>
    <row r="152" spans="5:14" x14ac:dyDescent="0.3">
      <c r="E152" s="86"/>
      <c r="F152" s="87"/>
      <c r="G152" s="87"/>
      <c r="H152" s="87"/>
      <c r="I152" s="86"/>
      <c r="J152" s="87"/>
      <c r="K152" s="86"/>
      <c r="L152" s="87"/>
      <c r="M152" s="87"/>
      <c r="N152" s="87"/>
    </row>
    <row r="153" spans="5:14" x14ac:dyDescent="0.3">
      <c r="E153" s="86"/>
      <c r="F153" s="87"/>
      <c r="G153" s="87"/>
      <c r="H153" s="87"/>
      <c r="I153" s="86"/>
      <c r="J153" s="87"/>
      <c r="K153" s="86"/>
      <c r="L153" s="87"/>
      <c r="M153" s="87"/>
      <c r="N153" s="87"/>
    </row>
    <row r="154" spans="5:14" x14ac:dyDescent="0.3">
      <c r="E154" s="86"/>
      <c r="F154" s="87"/>
      <c r="G154" s="87"/>
      <c r="H154" s="87"/>
      <c r="I154" s="86"/>
      <c r="J154" s="87"/>
      <c r="K154" s="86"/>
      <c r="L154" s="87"/>
      <c r="M154" s="87"/>
      <c r="N154" s="87"/>
    </row>
    <row r="155" spans="5:14" x14ac:dyDescent="0.3">
      <c r="E155" s="86"/>
      <c r="F155" s="87"/>
      <c r="G155" s="87"/>
      <c r="H155" s="87"/>
      <c r="I155" s="86"/>
      <c r="J155" s="87"/>
      <c r="K155" s="86"/>
      <c r="L155" s="87"/>
      <c r="M155" s="87"/>
      <c r="N155" s="87"/>
    </row>
    <row r="156" spans="5:14" x14ac:dyDescent="0.3">
      <c r="E156" s="86"/>
      <c r="F156" s="87"/>
      <c r="G156" s="87"/>
      <c r="H156" s="87"/>
      <c r="I156" s="86"/>
      <c r="J156" s="87"/>
      <c r="K156" s="86"/>
      <c r="L156" s="87"/>
      <c r="M156" s="87"/>
      <c r="N156" s="87"/>
    </row>
    <row r="157" spans="5:14" x14ac:dyDescent="0.3">
      <c r="E157" s="86"/>
      <c r="F157" s="87"/>
      <c r="G157" s="87"/>
      <c r="H157" s="87"/>
      <c r="I157" s="86"/>
      <c r="J157" s="87"/>
      <c r="K157" s="86"/>
      <c r="L157" s="87"/>
      <c r="M157" s="87"/>
      <c r="N157" s="87"/>
    </row>
    <row r="158" spans="5:14" x14ac:dyDescent="0.3">
      <c r="E158" s="86"/>
      <c r="F158" s="87"/>
      <c r="G158" s="87"/>
      <c r="H158" s="87"/>
      <c r="I158" s="86"/>
      <c r="J158" s="87"/>
      <c r="K158" s="86"/>
      <c r="L158" s="87"/>
      <c r="M158" s="87"/>
      <c r="N158" s="87"/>
    </row>
  </sheetData>
  <mergeCells count="1">
    <mergeCell ref="I15:J15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160:V169"/>
  <sheetViews>
    <sheetView topLeftCell="C142" workbookViewId="0">
      <selection activeCell="L172" sqref="L172"/>
    </sheetView>
  </sheetViews>
  <sheetFormatPr defaultRowHeight="15" x14ac:dyDescent="0.25"/>
  <sheetData>
    <row r="160" spans="9:9" x14ac:dyDescent="0.25">
      <c r="I160" t="s">
        <v>111</v>
      </c>
    </row>
    <row r="161" spans="9:22" x14ac:dyDescent="0.25">
      <c r="I161" t="s">
        <v>108</v>
      </c>
      <c r="J161">
        <v>204</v>
      </c>
      <c r="U161" t="s">
        <v>107</v>
      </c>
    </row>
    <row r="162" spans="9:22" x14ac:dyDescent="0.25">
      <c r="I162" t="s">
        <v>109</v>
      </c>
      <c r="J162">
        <f>J161*1.2</f>
        <v>244.79999999999998</v>
      </c>
      <c r="U162" t="s">
        <v>108</v>
      </c>
      <c r="V162">
        <v>352</v>
      </c>
    </row>
    <row r="163" spans="9:22" x14ac:dyDescent="0.25">
      <c r="I163" t="s">
        <v>112</v>
      </c>
      <c r="J163">
        <f>J162/10.764</f>
        <v>22.742474916387959</v>
      </c>
      <c r="U163" t="s">
        <v>109</v>
      </c>
      <c r="V163">
        <f>V162*1.2</f>
        <v>422.4</v>
      </c>
    </row>
    <row r="164" spans="9:22" x14ac:dyDescent="0.25">
      <c r="U164" t="s">
        <v>110</v>
      </c>
      <c r="V164">
        <f>V163/10.764</f>
        <v>39.241917502787068</v>
      </c>
    </row>
    <row r="165" spans="9:22" x14ac:dyDescent="0.25">
      <c r="I165" t="s">
        <v>113</v>
      </c>
      <c r="J165">
        <v>186.69</v>
      </c>
    </row>
    <row r="166" spans="9:22" x14ac:dyDescent="0.25">
      <c r="I166" t="s">
        <v>114</v>
      </c>
      <c r="J166">
        <f>J165-J163</f>
        <v>163.94752508361205</v>
      </c>
    </row>
    <row r="168" spans="9:22" x14ac:dyDescent="0.25">
      <c r="I168" t="s">
        <v>115</v>
      </c>
      <c r="J168">
        <v>22.74</v>
      </c>
    </row>
    <row r="169" spans="9:22" x14ac:dyDescent="0.25">
      <c r="I169" t="s">
        <v>116</v>
      </c>
      <c r="J169">
        <f>J166</f>
        <v>163.94752508361205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0" workbookViewId="0">
      <selection activeCell="B17" sqref="B17"/>
    </sheetView>
  </sheetViews>
  <sheetFormatPr defaultRowHeight="15" x14ac:dyDescent="0.25"/>
  <sheetData>
    <row r="2" spans="2:2" x14ac:dyDescent="0.25">
      <c r="B2" s="1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47E8E-252E-4AA7-9777-BE4AA454736B}">
  <dimension ref="A2:M83"/>
  <sheetViews>
    <sheetView topLeftCell="A4" workbookViewId="0">
      <selection activeCell="D19" sqref="D19"/>
    </sheetView>
  </sheetViews>
  <sheetFormatPr defaultRowHeight="15" x14ac:dyDescent="0.25"/>
  <cols>
    <col min="1" max="1" width="55.28515625" customWidth="1"/>
    <col min="2" max="2" width="28.7109375" customWidth="1"/>
    <col min="3" max="3" width="19.28515625" customWidth="1"/>
    <col min="4" max="4" width="17" customWidth="1"/>
    <col min="10" max="10" width="15.140625" bestFit="1" customWidth="1"/>
    <col min="11" max="11" width="14.28515625" bestFit="1" customWidth="1"/>
    <col min="12" max="12" width="18.140625" bestFit="1" customWidth="1"/>
  </cols>
  <sheetData>
    <row r="2" spans="1:3" x14ac:dyDescent="0.25">
      <c r="A2" t="s">
        <v>57</v>
      </c>
      <c r="B2" t="s">
        <v>58</v>
      </c>
    </row>
    <row r="3" spans="1:3" x14ac:dyDescent="0.25">
      <c r="A3" t="s">
        <v>59</v>
      </c>
      <c r="B3" t="s">
        <v>60</v>
      </c>
      <c r="C3" s="106">
        <v>1021000</v>
      </c>
    </row>
    <row r="4" spans="1:3" x14ac:dyDescent="0.25">
      <c r="A4" t="s">
        <v>61</v>
      </c>
      <c r="B4" t="s">
        <v>62</v>
      </c>
    </row>
    <row r="5" spans="1:3" x14ac:dyDescent="0.25">
      <c r="A5" t="s">
        <v>63</v>
      </c>
      <c r="B5" t="s">
        <v>64</v>
      </c>
    </row>
    <row r="6" spans="1:3" x14ac:dyDescent="0.25">
      <c r="A6" t="s">
        <v>65</v>
      </c>
      <c r="B6" t="s">
        <v>66</v>
      </c>
    </row>
    <row r="7" spans="1:3" x14ac:dyDescent="0.25">
      <c r="A7" t="s">
        <v>67</v>
      </c>
      <c r="B7" t="s">
        <v>68</v>
      </c>
    </row>
    <row r="8" spans="1:3" x14ac:dyDescent="0.25">
      <c r="A8" t="s">
        <v>69</v>
      </c>
      <c r="B8" t="s">
        <v>70</v>
      </c>
    </row>
    <row r="9" spans="1:3" x14ac:dyDescent="0.25">
      <c r="A9" t="s">
        <v>71</v>
      </c>
      <c r="B9" t="s">
        <v>72</v>
      </c>
    </row>
    <row r="10" spans="1:3" x14ac:dyDescent="0.25">
      <c r="A10" t="s">
        <v>73</v>
      </c>
      <c r="B10" t="s">
        <v>74</v>
      </c>
    </row>
    <row r="11" spans="1:3" x14ac:dyDescent="0.25">
      <c r="A11" t="s">
        <v>75</v>
      </c>
      <c r="B11" t="s">
        <v>76</v>
      </c>
    </row>
    <row r="12" spans="1:3" x14ac:dyDescent="0.25">
      <c r="A12" t="s">
        <v>77</v>
      </c>
      <c r="C12">
        <f>594.4-104.4</f>
        <v>490</v>
      </c>
    </row>
    <row r="13" spans="1:3" x14ac:dyDescent="0.25">
      <c r="A13" t="s">
        <v>78</v>
      </c>
      <c r="C13">
        <v>186.69</v>
      </c>
    </row>
    <row r="14" spans="1:3" x14ac:dyDescent="0.25">
      <c r="A14" t="s">
        <v>79</v>
      </c>
      <c r="C14">
        <v>1974</v>
      </c>
    </row>
    <row r="15" spans="1:3" x14ac:dyDescent="0.25">
      <c r="A15" t="s">
        <v>80</v>
      </c>
      <c r="C15">
        <v>45100</v>
      </c>
    </row>
    <row r="16" spans="1:3" x14ac:dyDescent="0.25">
      <c r="A16" s="107" t="s">
        <v>81</v>
      </c>
      <c r="B16" s="107"/>
      <c r="C16" s="11">
        <f>C15*C12</f>
        <v>22099000</v>
      </c>
    </row>
    <row r="18" spans="1:3" x14ac:dyDescent="0.25">
      <c r="A18" s="108" t="s">
        <v>37</v>
      </c>
    </row>
    <row r="19" spans="1:3" x14ac:dyDescent="0.25">
      <c r="A19" t="s">
        <v>78</v>
      </c>
      <c r="C19">
        <v>186.69</v>
      </c>
    </row>
    <row r="20" spans="1:3" x14ac:dyDescent="0.25">
      <c r="A20" t="s">
        <v>82</v>
      </c>
      <c r="C20" s="1">
        <v>5500</v>
      </c>
    </row>
    <row r="21" spans="1:3" x14ac:dyDescent="0.25">
      <c r="C21" s="1">
        <f>C20*C19</f>
        <v>1026795</v>
      </c>
    </row>
    <row r="22" spans="1:3" x14ac:dyDescent="0.25">
      <c r="A22" t="s">
        <v>45</v>
      </c>
      <c r="C22" s="10">
        <v>0.34710000000000002</v>
      </c>
    </row>
    <row r="23" spans="1:3" x14ac:dyDescent="0.25">
      <c r="A23" t="s">
        <v>83</v>
      </c>
      <c r="C23" s="2">
        <f>C21*C22</f>
        <v>356400.54450000002</v>
      </c>
    </row>
    <row r="24" spans="1:3" x14ac:dyDescent="0.25">
      <c r="A24" s="107" t="s">
        <v>84</v>
      </c>
      <c r="C24" s="12">
        <f>C21-C23</f>
        <v>670394.45549999992</v>
      </c>
    </row>
    <row r="26" spans="1:3" x14ac:dyDescent="0.25">
      <c r="A26" s="107" t="s">
        <v>85</v>
      </c>
      <c r="B26" s="107"/>
      <c r="C26" s="12">
        <f>C24+C16</f>
        <v>22769394.455499999</v>
      </c>
    </row>
    <row r="27" spans="1:3" x14ac:dyDescent="0.25">
      <c r="A27" s="110" t="s">
        <v>5</v>
      </c>
      <c r="B27" s="107"/>
      <c r="C27" s="111">
        <f>composite!E28</f>
        <v>2156990</v>
      </c>
    </row>
    <row r="28" spans="1:3" x14ac:dyDescent="0.25">
      <c r="A28" s="110" t="s">
        <v>87</v>
      </c>
      <c r="B28" s="107"/>
      <c r="C28" s="111">
        <f>composite!F25</f>
        <v>20000</v>
      </c>
    </row>
    <row r="29" spans="1:3" x14ac:dyDescent="0.25">
      <c r="A29" s="107" t="s">
        <v>88</v>
      </c>
      <c r="B29" s="107"/>
      <c r="C29" s="12">
        <f>SUM(C26:C28)</f>
        <v>24946384.455499999</v>
      </c>
    </row>
    <row r="30" spans="1:3" x14ac:dyDescent="0.25">
      <c r="A30" s="107" t="s">
        <v>86</v>
      </c>
      <c r="B30" s="107"/>
      <c r="C30" s="12">
        <f>C29*363/100</f>
        <v>90555375.573465005</v>
      </c>
    </row>
    <row r="33" spans="1:13" x14ac:dyDescent="0.25">
      <c r="A33" t="s">
        <v>98</v>
      </c>
    </row>
    <row r="34" spans="1:13" x14ac:dyDescent="0.25">
      <c r="A34" s="108" t="s">
        <v>89</v>
      </c>
      <c r="C34" t="s">
        <v>93</v>
      </c>
      <c r="D34" t="s">
        <v>94</v>
      </c>
      <c r="K34" t="s">
        <v>21</v>
      </c>
      <c r="L34" t="s">
        <v>22</v>
      </c>
    </row>
    <row r="35" spans="1:13" x14ac:dyDescent="0.25">
      <c r="A35" t="s">
        <v>90</v>
      </c>
      <c r="B35" s="1">
        <v>420000000</v>
      </c>
      <c r="C35" s="1">
        <v>240000000</v>
      </c>
      <c r="D35" s="1">
        <v>180000000</v>
      </c>
      <c r="E35">
        <f>C35/B35</f>
        <v>0.5714285714285714</v>
      </c>
      <c r="K35" s="2">
        <f>C16</f>
        <v>22099000</v>
      </c>
      <c r="L35" s="2">
        <f>K35</f>
        <v>22099000</v>
      </c>
      <c r="M35" s="1"/>
    </row>
    <row r="36" spans="1:13" x14ac:dyDescent="0.25">
      <c r="A36" t="s">
        <v>91</v>
      </c>
      <c r="B36" s="1">
        <f>B35*1%</f>
        <v>4200000</v>
      </c>
      <c r="C36" s="1">
        <f t="shared" ref="C36:D36" si="0">C35*1%</f>
        <v>2400000</v>
      </c>
      <c r="D36" s="1">
        <f t="shared" si="0"/>
        <v>1800000</v>
      </c>
      <c r="J36" t="s">
        <v>31</v>
      </c>
      <c r="K36" s="2">
        <v>1000000</v>
      </c>
      <c r="L36" s="12">
        <f>ROUND(L35*1%,0)</f>
        <v>220990</v>
      </c>
      <c r="M36" s="2"/>
    </row>
    <row r="37" spans="1:13" x14ac:dyDescent="0.25">
      <c r="A37" t="s">
        <v>92</v>
      </c>
      <c r="B37" s="1">
        <f>112000+84000</f>
        <v>196000</v>
      </c>
      <c r="C37" s="1">
        <v>112000</v>
      </c>
      <c r="D37" s="1">
        <v>84000</v>
      </c>
      <c r="K37" s="2">
        <f>MROUND(K35-K36,500)</f>
        <v>21099000</v>
      </c>
      <c r="L37">
        <v>20000</v>
      </c>
      <c r="M37" t="s">
        <v>54</v>
      </c>
    </row>
    <row r="38" spans="1:13" x14ac:dyDescent="0.25">
      <c r="A38" t="s">
        <v>95</v>
      </c>
      <c r="B38" s="2">
        <f>B35-B36-B37</f>
        <v>415604000</v>
      </c>
      <c r="C38" s="2">
        <f>C35-C36-C37</f>
        <v>237488000</v>
      </c>
      <c r="D38" s="2">
        <f>D35-D36-D37</f>
        <v>178116000</v>
      </c>
      <c r="J38" t="s">
        <v>53</v>
      </c>
      <c r="K38" s="2">
        <f>K37*8%</f>
        <v>1687920</v>
      </c>
      <c r="M38" s="1"/>
    </row>
    <row r="39" spans="1:13" x14ac:dyDescent="0.25">
      <c r="A39" t="s">
        <v>96</v>
      </c>
      <c r="B39" s="1"/>
      <c r="C39" s="112">
        <f>C35/B35</f>
        <v>0.5714285714285714</v>
      </c>
      <c r="D39" s="10">
        <f>D35/B35</f>
        <v>0.42857142857142855</v>
      </c>
      <c r="K39" s="1">
        <v>38750</v>
      </c>
    </row>
    <row r="40" spans="1:13" x14ac:dyDescent="0.25">
      <c r="A40" t="s">
        <v>97</v>
      </c>
      <c r="B40" s="1"/>
      <c r="C40" s="109"/>
      <c r="D40" s="109"/>
      <c r="G40">
        <f>100-57.14</f>
        <v>42.86</v>
      </c>
      <c r="K40" s="11">
        <f>K38+K39</f>
        <v>1726670</v>
      </c>
    </row>
    <row r="41" spans="1:13" x14ac:dyDescent="0.25">
      <c r="A41" s="110" t="s">
        <v>86</v>
      </c>
      <c r="B41" s="2">
        <f>C30</f>
        <v>90555375.573465005</v>
      </c>
      <c r="C41" s="2">
        <f>B41*C39</f>
        <v>51745928.899122857</v>
      </c>
      <c r="D41" s="2">
        <f>B41*D39</f>
        <v>38809446.674342141</v>
      </c>
    </row>
    <row r="42" spans="1:13" x14ac:dyDescent="0.25">
      <c r="A42" s="110" t="s">
        <v>102</v>
      </c>
      <c r="B42" s="2"/>
      <c r="C42" s="2">
        <f>C38-C41</f>
        <v>185742071.10087714</v>
      </c>
      <c r="D42" s="2">
        <f>D38-D41</f>
        <v>139306553.32565784</v>
      </c>
    </row>
    <row r="43" spans="1:13" x14ac:dyDescent="0.25">
      <c r="A43" s="110" t="s">
        <v>99</v>
      </c>
      <c r="B43" s="10">
        <v>0.20799999999999999</v>
      </c>
      <c r="C43" s="10">
        <v>0.20799999999999999</v>
      </c>
      <c r="D43" s="10">
        <v>0.20799999999999999</v>
      </c>
    </row>
    <row r="44" spans="1:13" x14ac:dyDescent="0.25">
      <c r="A44" s="110" t="s">
        <v>100</v>
      </c>
      <c r="B44" s="2"/>
      <c r="C44" s="2">
        <f>C42*C43</f>
        <v>38634350.788982444</v>
      </c>
      <c r="D44" s="2">
        <f>D42*D43</f>
        <v>28975763.091736831</v>
      </c>
      <c r="K44" t="s">
        <v>21</v>
      </c>
      <c r="L44" t="s">
        <v>22</v>
      </c>
    </row>
    <row r="45" spans="1:13" x14ac:dyDescent="0.25">
      <c r="K45" s="2">
        <f>C24</f>
        <v>670394.45549999992</v>
      </c>
      <c r="L45" s="2">
        <f>K45</f>
        <v>670394.45549999992</v>
      </c>
      <c r="M45" s="1"/>
    </row>
    <row r="46" spans="1:13" x14ac:dyDescent="0.25">
      <c r="A46" t="s">
        <v>101</v>
      </c>
      <c r="J46" t="s">
        <v>105</v>
      </c>
      <c r="K46" s="2">
        <v>650000</v>
      </c>
      <c r="L46" s="12">
        <f>ROUND(L45*1%,0)</f>
        <v>6704</v>
      </c>
      <c r="M46" s="2"/>
    </row>
    <row r="47" spans="1:13" x14ac:dyDescent="0.25">
      <c r="A47" s="108" t="s">
        <v>89</v>
      </c>
      <c r="C47" t="s">
        <v>93</v>
      </c>
      <c r="D47" t="s">
        <v>94</v>
      </c>
      <c r="K47" s="2">
        <f>MROUND(K45-K46,500)</f>
        <v>20500</v>
      </c>
      <c r="L47">
        <v>20000</v>
      </c>
      <c r="M47" t="s">
        <v>54</v>
      </c>
    </row>
    <row r="48" spans="1:13" x14ac:dyDescent="0.25">
      <c r="A48" t="s">
        <v>90</v>
      </c>
      <c r="B48" s="1">
        <v>420000000</v>
      </c>
      <c r="C48" s="1">
        <v>240000000</v>
      </c>
      <c r="D48" s="1">
        <v>180000000</v>
      </c>
      <c r="J48" t="s">
        <v>53</v>
      </c>
      <c r="K48" s="2">
        <f>K47*6%</f>
        <v>1230</v>
      </c>
      <c r="M48" s="1"/>
    </row>
    <row r="49" spans="1:11" x14ac:dyDescent="0.25">
      <c r="A49" t="s">
        <v>91</v>
      </c>
      <c r="B49" s="1">
        <f>B48*1%</f>
        <v>4200000</v>
      </c>
      <c r="C49" s="1">
        <f t="shared" ref="C49:D49" si="1">C48*1%</f>
        <v>2400000</v>
      </c>
      <c r="D49" s="1">
        <f t="shared" si="1"/>
        <v>1800000</v>
      </c>
      <c r="K49" s="1">
        <v>17750</v>
      </c>
    </row>
    <row r="50" spans="1:11" x14ac:dyDescent="0.25">
      <c r="A50" t="s">
        <v>92</v>
      </c>
      <c r="B50" s="1">
        <f>112000+84000</f>
        <v>196000</v>
      </c>
      <c r="C50" s="1">
        <v>112000</v>
      </c>
      <c r="D50" s="1">
        <v>84000</v>
      </c>
      <c r="K50" s="11">
        <f>K48+K49</f>
        <v>18980</v>
      </c>
    </row>
    <row r="51" spans="1:11" x14ac:dyDescent="0.25">
      <c r="A51" t="s">
        <v>95</v>
      </c>
      <c r="B51" s="2">
        <f>B48-B49-B50</f>
        <v>415604000</v>
      </c>
      <c r="C51" s="2">
        <f>C48-C49-C50</f>
        <v>237488000</v>
      </c>
      <c r="D51" s="2">
        <f>D48-D49-D50</f>
        <v>178116000</v>
      </c>
    </row>
    <row r="52" spans="1:11" x14ac:dyDescent="0.25">
      <c r="A52" t="s">
        <v>96</v>
      </c>
      <c r="B52" s="1"/>
      <c r="C52" s="112">
        <f>C48/B48</f>
        <v>0.5714285714285714</v>
      </c>
      <c r="D52" s="10">
        <f>D48/B48</f>
        <v>0.42857142857142855</v>
      </c>
    </row>
    <row r="53" spans="1:11" x14ac:dyDescent="0.25">
      <c r="A53" t="s">
        <v>97</v>
      </c>
      <c r="B53" s="1"/>
      <c r="C53" s="109"/>
      <c r="D53" s="109"/>
    </row>
    <row r="54" spans="1:11" x14ac:dyDescent="0.25">
      <c r="A54" s="110" t="s">
        <v>88</v>
      </c>
      <c r="B54" s="2">
        <f>C29</f>
        <v>24946384.455499999</v>
      </c>
      <c r="C54" s="2">
        <f>B54*C52</f>
        <v>14255076.831714284</v>
      </c>
      <c r="D54" s="2">
        <f>B54*D52</f>
        <v>10691307.623785714</v>
      </c>
    </row>
    <row r="55" spans="1:11" x14ac:dyDescent="0.25">
      <c r="A55" s="110" t="s">
        <v>102</v>
      </c>
      <c r="B55" s="2"/>
      <c r="C55" s="2">
        <f>C51-C54</f>
        <v>223232923.16828573</v>
      </c>
      <c r="D55" s="2">
        <f>D51-D54</f>
        <v>167424692.3762143</v>
      </c>
    </row>
    <row r="56" spans="1:11" x14ac:dyDescent="0.25">
      <c r="A56" s="110" t="s">
        <v>103</v>
      </c>
      <c r="B56" s="10">
        <v>0.13</v>
      </c>
      <c r="C56" s="10">
        <v>0.13</v>
      </c>
      <c r="D56" s="10">
        <v>0.13</v>
      </c>
    </row>
    <row r="57" spans="1:11" x14ac:dyDescent="0.25">
      <c r="A57" s="110" t="s">
        <v>100</v>
      </c>
      <c r="B57" s="2"/>
      <c r="C57" s="2">
        <f>C55*C56</f>
        <v>29020280.011877146</v>
      </c>
      <c r="D57" s="2">
        <f>D55*D56</f>
        <v>21765210.008907858</v>
      </c>
    </row>
    <row r="59" spans="1:11" x14ac:dyDescent="0.25">
      <c r="A59" t="s">
        <v>104</v>
      </c>
    </row>
    <row r="60" spans="1:11" x14ac:dyDescent="0.25">
      <c r="A60" s="108" t="s">
        <v>89</v>
      </c>
      <c r="C60" t="s">
        <v>93</v>
      </c>
      <c r="D60" t="s">
        <v>94</v>
      </c>
    </row>
    <row r="61" spans="1:11" x14ac:dyDescent="0.25">
      <c r="A61" t="s">
        <v>90</v>
      </c>
      <c r="B61" s="1">
        <v>420000000</v>
      </c>
      <c r="C61" s="1">
        <v>240000000</v>
      </c>
      <c r="D61" s="1">
        <v>180000000</v>
      </c>
    </row>
    <row r="62" spans="1:11" x14ac:dyDescent="0.25">
      <c r="A62" t="s">
        <v>91</v>
      </c>
      <c r="B62" s="1">
        <f>B61*1%</f>
        <v>4200000</v>
      </c>
      <c r="C62" s="1">
        <f t="shared" ref="C62:D62" si="2">C61*1%</f>
        <v>2400000</v>
      </c>
      <c r="D62" s="1">
        <f t="shared" si="2"/>
        <v>1800000</v>
      </c>
    </row>
    <row r="63" spans="1:11" x14ac:dyDescent="0.25">
      <c r="A63" t="s">
        <v>92</v>
      </c>
      <c r="B63" s="1">
        <f>112000+84000</f>
        <v>196000</v>
      </c>
      <c r="C63" s="1">
        <v>112000</v>
      </c>
      <c r="D63" s="1">
        <v>84000</v>
      </c>
    </row>
    <row r="64" spans="1:11" x14ac:dyDescent="0.25">
      <c r="A64" t="s">
        <v>95</v>
      </c>
      <c r="B64" s="2">
        <f>B61-B62-B63</f>
        <v>415604000</v>
      </c>
      <c r="C64" s="2">
        <f>C61-C62-C63</f>
        <v>237488000</v>
      </c>
      <c r="D64" s="2">
        <f>D61-D62-D63</f>
        <v>178116000</v>
      </c>
    </row>
    <row r="65" spans="1:4" x14ac:dyDescent="0.25">
      <c r="A65" t="s">
        <v>96</v>
      </c>
      <c r="B65" s="1"/>
      <c r="C65" s="112">
        <f>C61/B61</f>
        <v>0.5714285714285714</v>
      </c>
      <c r="D65" s="10">
        <f>D61/B61</f>
        <v>0.42857142857142855</v>
      </c>
    </row>
    <row r="66" spans="1:4" x14ac:dyDescent="0.25">
      <c r="A66" t="s">
        <v>97</v>
      </c>
      <c r="B66" s="1"/>
      <c r="C66" s="109"/>
      <c r="D66" s="109"/>
    </row>
    <row r="67" spans="1:4" x14ac:dyDescent="0.25">
      <c r="A67" s="110" t="s">
        <v>86</v>
      </c>
      <c r="B67" s="2">
        <f>C56</f>
        <v>0.13</v>
      </c>
      <c r="C67" s="2">
        <f>(K35+K40+L37)*363/100</f>
        <v>86559782.099999994</v>
      </c>
      <c r="D67" s="2">
        <f>(K45+K50+L46)*363/100</f>
        <v>2526764.7934649996</v>
      </c>
    </row>
    <row r="68" spans="1:4" x14ac:dyDescent="0.25">
      <c r="A68" s="110" t="s">
        <v>102</v>
      </c>
      <c r="B68" s="2"/>
      <c r="C68" s="2">
        <f>C64-C67</f>
        <v>150928217.90000001</v>
      </c>
      <c r="D68" s="2">
        <f>D64-D67</f>
        <v>175589235.20653501</v>
      </c>
    </row>
    <row r="69" spans="1:4" x14ac:dyDescent="0.25">
      <c r="A69" s="110" t="s">
        <v>99</v>
      </c>
      <c r="B69" s="10">
        <v>0.20799999999999999</v>
      </c>
      <c r="C69" s="10">
        <v>0.20799999999999999</v>
      </c>
      <c r="D69" s="10">
        <v>0.20799999999999999</v>
      </c>
    </row>
    <row r="70" spans="1:4" x14ac:dyDescent="0.25">
      <c r="A70" s="110" t="s">
        <v>100</v>
      </c>
      <c r="B70" s="2"/>
      <c r="C70" s="2">
        <f>C68*C69</f>
        <v>31393069.323199999</v>
      </c>
      <c r="D70" s="2">
        <f>D68*D69</f>
        <v>36522560.922959283</v>
      </c>
    </row>
    <row r="72" spans="1:4" x14ac:dyDescent="0.25">
      <c r="A72" t="s">
        <v>101</v>
      </c>
    </row>
    <row r="73" spans="1:4" x14ac:dyDescent="0.25">
      <c r="A73" s="108" t="s">
        <v>89</v>
      </c>
      <c r="C73" t="s">
        <v>93</v>
      </c>
      <c r="D73" t="s">
        <v>94</v>
      </c>
    </row>
    <row r="74" spans="1:4" x14ac:dyDescent="0.25">
      <c r="A74" t="s">
        <v>90</v>
      </c>
      <c r="B74" s="1">
        <v>420000000</v>
      </c>
      <c r="C74" s="1">
        <v>240000000</v>
      </c>
      <c r="D74" s="1">
        <v>180000000</v>
      </c>
    </row>
    <row r="75" spans="1:4" x14ac:dyDescent="0.25">
      <c r="A75" t="s">
        <v>91</v>
      </c>
      <c r="B75" s="1">
        <f>B74*1%</f>
        <v>4200000</v>
      </c>
      <c r="C75" s="1">
        <f t="shared" ref="C75:D75" si="3">C74*1%</f>
        <v>2400000</v>
      </c>
      <c r="D75" s="1">
        <f t="shared" si="3"/>
        <v>1800000</v>
      </c>
    </row>
    <row r="76" spans="1:4" x14ac:dyDescent="0.25">
      <c r="A76" t="s">
        <v>92</v>
      </c>
      <c r="B76" s="1">
        <f>112000+84000</f>
        <v>196000</v>
      </c>
      <c r="C76" s="1">
        <v>112000</v>
      </c>
      <c r="D76" s="1">
        <v>84000</v>
      </c>
    </row>
    <row r="77" spans="1:4" x14ac:dyDescent="0.25">
      <c r="A77" t="s">
        <v>95</v>
      </c>
      <c r="B77" s="2">
        <f>B74-B75-B76</f>
        <v>415604000</v>
      </c>
      <c r="C77" s="2">
        <f>C74-C75-C76</f>
        <v>237488000</v>
      </c>
      <c r="D77" s="2">
        <f>D74-D75-D76</f>
        <v>178116000</v>
      </c>
    </row>
    <row r="78" spans="1:4" x14ac:dyDescent="0.25">
      <c r="A78" t="s">
        <v>96</v>
      </c>
      <c r="B78" s="1"/>
      <c r="C78" s="112">
        <f>C74/B74</f>
        <v>0.5714285714285714</v>
      </c>
      <c r="D78" s="10">
        <f>D74/B74</f>
        <v>0.42857142857142855</v>
      </c>
    </row>
    <row r="79" spans="1:4" x14ac:dyDescent="0.25">
      <c r="A79" t="s">
        <v>97</v>
      </c>
      <c r="B79" s="1"/>
      <c r="C79" s="109"/>
      <c r="D79" s="109"/>
    </row>
    <row r="80" spans="1:4" x14ac:dyDescent="0.25">
      <c r="A80" s="110" t="s">
        <v>88</v>
      </c>
      <c r="B80" s="2">
        <f>C55</f>
        <v>223232923.16828573</v>
      </c>
      <c r="C80" s="2">
        <f>K35+K40+L37</f>
        <v>23845670</v>
      </c>
      <c r="D80" s="2">
        <f>K45+K50+L46</f>
        <v>696078.45549999992</v>
      </c>
    </row>
    <row r="81" spans="1:4" x14ac:dyDescent="0.25">
      <c r="A81" s="110" t="s">
        <v>102</v>
      </c>
      <c r="B81" s="2"/>
      <c r="C81" s="2">
        <f>C77-C80</f>
        <v>213642330</v>
      </c>
      <c r="D81" s="2">
        <f>D77-D80</f>
        <v>177419921.54449999</v>
      </c>
    </row>
    <row r="82" spans="1:4" x14ac:dyDescent="0.25">
      <c r="A82" s="110" t="s">
        <v>103</v>
      </c>
      <c r="B82" s="10">
        <v>0.13</v>
      </c>
      <c r="C82" s="10">
        <v>0.13</v>
      </c>
      <c r="D82" s="10">
        <v>0.13</v>
      </c>
    </row>
    <row r="83" spans="1:4" x14ac:dyDescent="0.25">
      <c r="A83" s="110" t="s">
        <v>100</v>
      </c>
      <c r="B83" s="2"/>
      <c r="C83" s="2">
        <f>C81*C82</f>
        <v>27773502.900000002</v>
      </c>
      <c r="D83" s="2">
        <f>D81*D82</f>
        <v>23064589.800785001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8553-219F-4C34-A306-E6D13361EED3}">
  <dimension ref="A2:M83"/>
  <sheetViews>
    <sheetView topLeftCell="A10" workbookViewId="0">
      <selection activeCell="J34" sqref="J34:N41"/>
    </sheetView>
  </sheetViews>
  <sheetFormatPr defaultRowHeight="15" x14ac:dyDescent="0.25"/>
  <cols>
    <col min="1" max="1" width="55.28515625" customWidth="1"/>
    <col min="2" max="2" width="28.7109375" customWidth="1"/>
    <col min="3" max="3" width="19.28515625" customWidth="1"/>
    <col min="4" max="4" width="17" customWidth="1"/>
    <col min="10" max="10" width="15.140625" bestFit="1" customWidth="1"/>
    <col min="11" max="11" width="14.28515625" bestFit="1" customWidth="1"/>
    <col min="12" max="12" width="18.140625" bestFit="1" customWidth="1"/>
  </cols>
  <sheetData>
    <row r="2" spans="1:3" x14ac:dyDescent="0.25">
      <c r="A2" t="s">
        <v>57</v>
      </c>
      <c r="B2" t="s">
        <v>58</v>
      </c>
    </row>
    <row r="3" spans="1:3" x14ac:dyDescent="0.25">
      <c r="A3" t="s">
        <v>59</v>
      </c>
      <c r="B3" t="s">
        <v>60</v>
      </c>
      <c r="C3" s="106">
        <v>1021000</v>
      </c>
    </row>
    <row r="4" spans="1:3" x14ac:dyDescent="0.25">
      <c r="A4" t="s">
        <v>61</v>
      </c>
      <c r="B4" t="s">
        <v>62</v>
      </c>
    </row>
    <row r="5" spans="1:3" x14ac:dyDescent="0.25">
      <c r="A5" t="s">
        <v>63</v>
      </c>
      <c r="B5" t="s">
        <v>64</v>
      </c>
    </row>
    <row r="6" spans="1:3" x14ac:dyDescent="0.25">
      <c r="A6" t="s">
        <v>65</v>
      </c>
      <c r="B6" t="s">
        <v>66</v>
      </c>
    </row>
    <row r="7" spans="1:3" x14ac:dyDescent="0.25">
      <c r="A7" t="s">
        <v>67</v>
      </c>
      <c r="B7" t="s">
        <v>68</v>
      </c>
    </row>
    <row r="8" spans="1:3" x14ac:dyDescent="0.25">
      <c r="A8" t="s">
        <v>69</v>
      </c>
      <c r="B8" t="s">
        <v>70</v>
      </c>
    </row>
    <row r="9" spans="1:3" x14ac:dyDescent="0.25">
      <c r="A9" t="s">
        <v>71</v>
      </c>
      <c r="B9" t="s">
        <v>72</v>
      </c>
    </row>
    <row r="10" spans="1:3" x14ac:dyDescent="0.25">
      <c r="A10" t="s">
        <v>73</v>
      </c>
      <c r="B10" t="s">
        <v>74</v>
      </c>
    </row>
    <row r="11" spans="1:3" x14ac:dyDescent="0.25">
      <c r="A11" t="s">
        <v>75</v>
      </c>
      <c r="B11" t="s">
        <v>76</v>
      </c>
    </row>
    <row r="12" spans="1:3" x14ac:dyDescent="0.25">
      <c r="A12" t="s">
        <v>77</v>
      </c>
      <c r="C12">
        <v>594.4</v>
      </c>
    </row>
    <row r="13" spans="1:3" x14ac:dyDescent="0.25">
      <c r="A13" t="s">
        <v>78</v>
      </c>
      <c r="C13">
        <v>186.69</v>
      </c>
    </row>
    <row r="14" spans="1:3" x14ac:dyDescent="0.25">
      <c r="A14" t="s">
        <v>79</v>
      </c>
      <c r="C14">
        <v>1974</v>
      </c>
    </row>
    <row r="15" spans="1:3" x14ac:dyDescent="0.25">
      <c r="A15" t="s">
        <v>80</v>
      </c>
      <c r="C15">
        <v>45100</v>
      </c>
    </row>
    <row r="16" spans="1:3" x14ac:dyDescent="0.25">
      <c r="A16" s="107" t="s">
        <v>81</v>
      </c>
      <c r="B16" s="107"/>
      <c r="C16" s="11">
        <f>C15*C12</f>
        <v>26807440</v>
      </c>
    </row>
    <row r="18" spans="1:3" x14ac:dyDescent="0.25">
      <c r="A18" s="108" t="s">
        <v>37</v>
      </c>
    </row>
    <row r="19" spans="1:3" x14ac:dyDescent="0.25">
      <c r="A19" t="s">
        <v>78</v>
      </c>
      <c r="C19">
        <v>186.69</v>
      </c>
    </row>
    <row r="20" spans="1:3" x14ac:dyDescent="0.25">
      <c r="A20" t="s">
        <v>82</v>
      </c>
      <c r="C20" s="1">
        <v>5500</v>
      </c>
    </row>
    <row r="21" spans="1:3" x14ac:dyDescent="0.25">
      <c r="C21" s="1">
        <f>C20*C19</f>
        <v>1026795</v>
      </c>
    </row>
    <row r="22" spans="1:3" x14ac:dyDescent="0.25">
      <c r="A22" t="s">
        <v>45</v>
      </c>
      <c r="C22" s="10">
        <v>0.34710000000000002</v>
      </c>
    </row>
    <row r="23" spans="1:3" x14ac:dyDescent="0.25">
      <c r="A23" t="s">
        <v>83</v>
      </c>
      <c r="C23" s="2">
        <f>C21*C22</f>
        <v>356400.54450000002</v>
      </c>
    </row>
    <row r="24" spans="1:3" x14ac:dyDescent="0.25">
      <c r="A24" s="107" t="s">
        <v>84</v>
      </c>
      <c r="C24" s="12">
        <f>C21-C23</f>
        <v>670394.45549999992</v>
      </c>
    </row>
    <row r="26" spans="1:3" x14ac:dyDescent="0.25">
      <c r="A26" s="107" t="s">
        <v>85</v>
      </c>
      <c r="B26" s="107"/>
      <c r="C26" s="12">
        <f>C24+C16</f>
        <v>27477834.455499999</v>
      </c>
    </row>
    <row r="27" spans="1:3" x14ac:dyDescent="0.25">
      <c r="A27" s="110" t="s">
        <v>5</v>
      </c>
      <c r="B27" s="107"/>
      <c r="C27" s="111">
        <f>composite!E28</f>
        <v>2156990</v>
      </c>
    </row>
    <row r="28" spans="1:3" x14ac:dyDescent="0.25">
      <c r="A28" s="110" t="s">
        <v>87</v>
      </c>
      <c r="B28" s="107"/>
      <c r="C28" s="111">
        <f>composite!F25</f>
        <v>20000</v>
      </c>
    </row>
    <row r="29" spans="1:3" x14ac:dyDescent="0.25">
      <c r="A29" s="107" t="s">
        <v>88</v>
      </c>
      <c r="B29" s="107"/>
      <c r="C29" s="12">
        <f>SUM(C26:C28)</f>
        <v>29654824.455499999</v>
      </c>
    </row>
    <row r="30" spans="1:3" x14ac:dyDescent="0.25">
      <c r="A30" s="107" t="s">
        <v>86</v>
      </c>
      <c r="B30" s="107"/>
      <c r="C30" s="12">
        <f>C29*363/100</f>
        <v>107647012.77346501</v>
      </c>
    </row>
    <row r="33" spans="1:13" x14ac:dyDescent="0.25">
      <c r="A33" t="s">
        <v>98</v>
      </c>
    </row>
    <row r="34" spans="1:13" x14ac:dyDescent="0.25">
      <c r="A34" s="108" t="s">
        <v>89</v>
      </c>
      <c r="C34" t="s">
        <v>93</v>
      </c>
      <c r="D34" t="s">
        <v>94</v>
      </c>
      <c r="K34" t="s">
        <v>21</v>
      </c>
      <c r="L34" t="s">
        <v>22</v>
      </c>
    </row>
    <row r="35" spans="1:13" x14ac:dyDescent="0.25">
      <c r="A35" t="s">
        <v>90</v>
      </c>
      <c r="B35" s="1">
        <v>420000000</v>
      </c>
      <c r="C35" s="1">
        <v>240000000</v>
      </c>
      <c r="D35" s="1">
        <v>180000000</v>
      </c>
      <c r="E35">
        <f>C35/B35</f>
        <v>0.5714285714285714</v>
      </c>
      <c r="K35" s="2">
        <f>C16</f>
        <v>26807440</v>
      </c>
      <c r="L35" s="2">
        <f>K35</f>
        <v>26807440</v>
      </c>
      <c r="M35" s="1"/>
    </row>
    <row r="36" spans="1:13" x14ac:dyDescent="0.25">
      <c r="A36" t="s">
        <v>91</v>
      </c>
      <c r="B36" s="1">
        <f>B35*1%</f>
        <v>4200000</v>
      </c>
      <c r="C36" s="1">
        <f t="shared" ref="C36:D36" si="0">C35*1%</f>
        <v>2400000</v>
      </c>
      <c r="D36" s="1">
        <f t="shared" si="0"/>
        <v>1800000</v>
      </c>
      <c r="J36" t="s">
        <v>31</v>
      </c>
      <c r="K36" s="2">
        <v>1000000</v>
      </c>
      <c r="L36" s="12">
        <f>ROUND(L35*1%,0)</f>
        <v>268074</v>
      </c>
      <c r="M36" s="2"/>
    </row>
    <row r="37" spans="1:13" x14ac:dyDescent="0.25">
      <c r="A37" t="s">
        <v>92</v>
      </c>
      <c r="B37" s="1">
        <f>112000+84000</f>
        <v>196000</v>
      </c>
      <c r="C37" s="1">
        <v>112000</v>
      </c>
      <c r="D37" s="1">
        <v>84000</v>
      </c>
      <c r="K37" s="2">
        <f>MROUND(K35-K36,500)</f>
        <v>25807500</v>
      </c>
      <c r="L37">
        <v>20000</v>
      </c>
      <c r="M37" t="s">
        <v>54</v>
      </c>
    </row>
    <row r="38" spans="1:13" x14ac:dyDescent="0.25">
      <c r="A38" t="s">
        <v>95</v>
      </c>
      <c r="B38" s="2">
        <f>B35-B36-B37</f>
        <v>415604000</v>
      </c>
      <c r="C38" s="2">
        <f>C35-C36-C37</f>
        <v>237488000</v>
      </c>
      <c r="D38" s="2">
        <f>D35-D36-D37</f>
        <v>178116000</v>
      </c>
      <c r="J38" t="s">
        <v>53</v>
      </c>
      <c r="K38" s="2">
        <f>K37*8%</f>
        <v>2064600</v>
      </c>
      <c r="M38" s="1"/>
    </row>
    <row r="39" spans="1:13" x14ac:dyDescent="0.25">
      <c r="A39" t="s">
        <v>96</v>
      </c>
      <c r="B39" s="1"/>
      <c r="C39" s="112">
        <f>C35/B35</f>
        <v>0.5714285714285714</v>
      </c>
      <c r="D39" s="10">
        <f>D35/B35</f>
        <v>0.42857142857142855</v>
      </c>
      <c r="K39" s="1">
        <v>38750</v>
      </c>
    </row>
    <row r="40" spans="1:13" x14ac:dyDescent="0.25">
      <c r="A40" t="s">
        <v>97</v>
      </c>
      <c r="B40" s="1"/>
      <c r="C40" s="109"/>
      <c r="D40" s="109"/>
      <c r="G40">
        <f>100-57.14</f>
        <v>42.86</v>
      </c>
      <c r="K40" s="11">
        <f>K38+K39</f>
        <v>2103350</v>
      </c>
    </row>
    <row r="41" spans="1:13" x14ac:dyDescent="0.25">
      <c r="A41" s="110" t="s">
        <v>86</v>
      </c>
      <c r="B41" s="2">
        <f>C30</f>
        <v>107647012.77346501</v>
      </c>
      <c r="C41" s="2">
        <f>B41*C39</f>
        <v>61512578.727694288</v>
      </c>
      <c r="D41" s="2">
        <f>B41*D39</f>
        <v>46134434.045770712</v>
      </c>
    </row>
    <row r="42" spans="1:13" x14ac:dyDescent="0.25">
      <c r="A42" s="110" t="s">
        <v>102</v>
      </c>
      <c r="B42" s="2"/>
      <c r="C42" s="2">
        <f>C38-C41</f>
        <v>175975421.27230573</v>
      </c>
      <c r="D42" s="2">
        <f>D38-D41</f>
        <v>131981565.9542293</v>
      </c>
    </row>
    <row r="43" spans="1:13" x14ac:dyDescent="0.25">
      <c r="A43" s="110" t="s">
        <v>99</v>
      </c>
      <c r="B43" s="10">
        <v>0.20799999999999999</v>
      </c>
      <c r="C43" s="10">
        <v>0.20799999999999999</v>
      </c>
      <c r="D43" s="10">
        <v>0.20799999999999999</v>
      </c>
    </row>
    <row r="44" spans="1:13" x14ac:dyDescent="0.25">
      <c r="A44" s="110" t="s">
        <v>100</v>
      </c>
      <c r="B44" s="2"/>
      <c r="C44" s="2">
        <f>C42*C43</f>
        <v>36602887.624639593</v>
      </c>
      <c r="D44" s="2">
        <f>D42*D43</f>
        <v>27452165.718479693</v>
      </c>
      <c r="K44" t="s">
        <v>21</v>
      </c>
      <c r="L44" t="s">
        <v>22</v>
      </c>
    </row>
    <row r="45" spans="1:13" x14ac:dyDescent="0.25">
      <c r="K45" s="2">
        <f>C24</f>
        <v>670394.45549999992</v>
      </c>
      <c r="L45" s="2">
        <f>K45</f>
        <v>670394.45549999992</v>
      </c>
      <c r="M45" s="1"/>
    </row>
    <row r="46" spans="1:13" x14ac:dyDescent="0.25">
      <c r="A46" t="s">
        <v>101</v>
      </c>
      <c r="J46" t="s">
        <v>105</v>
      </c>
      <c r="K46" s="2">
        <v>650000</v>
      </c>
      <c r="L46" s="12">
        <f>ROUND(L45*1%,0)</f>
        <v>6704</v>
      </c>
      <c r="M46" s="2"/>
    </row>
    <row r="47" spans="1:13" x14ac:dyDescent="0.25">
      <c r="A47" s="108" t="s">
        <v>89</v>
      </c>
      <c r="C47" t="s">
        <v>93</v>
      </c>
      <c r="D47" t="s">
        <v>94</v>
      </c>
      <c r="K47" s="2">
        <f>MROUND(K45-K46,500)</f>
        <v>20500</v>
      </c>
      <c r="L47">
        <v>20000</v>
      </c>
      <c r="M47" t="s">
        <v>54</v>
      </c>
    </row>
    <row r="48" spans="1:13" x14ac:dyDescent="0.25">
      <c r="A48" t="s">
        <v>90</v>
      </c>
      <c r="B48" s="1">
        <v>420000000</v>
      </c>
      <c r="C48" s="1">
        <v>240000000</v>
      </c>
      <c r="D48" s="1">
        <v>180000000</v>
      </c>
      <c r="J48" t="s">
        <v>53</v>
      </c>
      <c r="K48" s="2">
        <f>K47*6%</f>
        <v>1230</v>
      </c>
      <c r="M48" s="1"/>
    </row>
    <row r="49" spans="1:11" x14ac:dyDescent="0.25">
      <c r="A49" t="s">
        <v>91</v>
      </c>
      <c r="B49" s="1">
        <f>B48*1%</f>
        <v>4200000</v>
      </c>
      <c r="C49" s="1">
        <f t="shared" ref="C49" si="1">C48*1%</f>
        <v>2400000</v>
      </c>
      <c r="D49" s="1">
        <f t="shared" ref="D49" si="2">D48*1%</f>
        <v>1800000</v>
      </c>
      <c r="K49" s="1">
        <v>17750</v>
      </c>
    </row>
    <row r="50" spans="1:11" x14ac:dyDescent="0.25">
      <c r="A50" t="s">
        <v>92</v>
      </c>
      <c r="B50" s="1">
        <f>112000+84000</f>
        <v>196000</v>
      </c>
      <c r="C50" s="1">
        <v>112000</v>
      </c>
      <c r="D50" s="1">
        <v>84000</v>
      </c>
      <c r="K50" s="11">
        <f>K48+K49</f>
        <v>18980</v>
      </c>
    </row>
    <row r="51" spans="1:11" x14ac:dyDescent="0.25">
      <c r="A51" t="s">
        <v>95</v>
      </c>
      <c r="B51" s="2">
        <f>B48-B49-B50</f>
        <v>415604000</v>
      </c>
      <c r="C51" s="2">
        <f>C48-C49-C50</f>
        <v>237488000</v>
      </c>
      <c r="D51" s="2">
        <f>D48-D49-D50</f>
        <v>178116000</v>
      </c>
    </row>
    <row r="52" spans="1:11" x14ac:dyDescent="0.25">
      <c r="A52" t="s">
        <v>96</v>
      </c>
      <c r="B52" s="1"/>
      <c r="C52" s="112">
        <f>C48/B48</f>
        <v>0.5714285714285714</v>
      </c>
      <c r="D52" s="10">
        <f>D48/B48</f>
        <v>0.42857142857142855</v>
      </c>
    </row>
    <row r="53" spans="1:11" x14ac:dyDescent="0.25">
      <c r="A53" t="s">
        <v>97</v>
      </c>
      <c r="B53" s="1"/>
      <c r="C53" s="109"/>
      <c r="D53" s="109"/>
    </row>
    <row r="54" spans="1:11" x14ac:dyDescent="0.25">
      <c r="A54" s="110" t="s">
        <v>88</v>
      </c>
      <c r="B54" s="2">
        <f>C29</f>
        <v>29654824.455499999</v>
      </c>
      <c r="C54" s="2">
        <f>B54*C52</f>
        <v>16945613.974571425</v>
      </c>
      <c r="D54" s="2">
        <f>B54*D52</f>
        <v>12709210.48092857</v>
      </c>
    </row>
    <row r="55" spans="1:11" x14ac:dyDescent="0.25">
      <c r="A55" s="110" t="s">
        <v>102</v>
      </c>
      <c r="B55" s="2"/>
      <c r="C55" s="2">
        <f>C51-C54</f>
        <v>220542386.02542856</v>
      </c>
      <c r="D55" s="2">
        <f>D51-D54</f>
        <v>165406789.51907143</v>
      </c>
    </row>
    <row r="56" spans="1:11" x14ac:dyDescent="0.25">
      <c r="A56" s="110" t="s">
        <v>103</v>
      </c>
      <c r="B56" s="10">
        <v>0.13</v>
      </c>
      <c r="C56" s="10">
        <v>0.13</v>
      </c>
      <c r="D56" s="10">
        <v>0.13</v>
      </c>
    </row>
    <row r="57" spans="1:11" x14ac:dyDescent="0.25">
      <c r="A57" s="110" t="s">
        <v>100</v>
      </c>
      <c r="B57" s="2"/>
      <c r="C57" s="2">
        <f>C55*C56</f>
        <v>28670510.183305714</v>
      </c>
      <c r="D57" s="2">
        <f>D55*D56</f>
        <v>21502882.637479287</v>
      </c>
    </row>
    <row r="59" spans="1:11" x14ac:dyDescent="0.25">
      <c r="A59" t="s">
        <v>104</v>
      </c>
    </row>
    <row r="60" spans="1:11" x14ac:dyDescent="0.25">
      <c r="A60" s="108" t="s">
        <v>89</v>
      </c>
      <c r="C60" t="s">
        <v>93</v>
      </c>
      <c r="D60" t="s">
        <v>94</v>
      </c>
    </row>
    <row r="61" spans="1:11" x14ac:dyDescent="0.25">
      <c r="A61" t="s">
        <v>90</v>
      </c>
      <c r="B61" s="1">
        <v>420000000</v>
      </c>
      <c r="C61" s="1">
        <v>240000000</v>
      </c>
      <c r="D61" s="1">
        <v>180000000</v>
      </c>
    </row>
    <row r="62" spans="1:11" x14ac:dyDescent="0.25">
      <c r="A62" t="s">
        <v>91</v>
      </c>
      <c r="B62" s="1">
        <f>B61*1%</f>
        <v>4200000</v>
      </c>
      <c r="C62" s="1">
        <f t="shared" ref="C62" si="3">C61*1%</f>
        <v>2400000</v>
      </c>
      <c r="D62" s="1">
        <f t="shared" ref="D62" si="4">D61*1%</f>
        <v>1800000</v>
      </c>
    </row>
    <row r="63" spans="1:11" x14ac:dyDescent="0.25">
      <c r="A63" t="s">
        <v>92</v>
      </c>
      <c r="B63" s="1">
        <f>112000+84000</f>
        <v>196000</v>
      </c>
      <c r="C63" s="1">
        <v>112000</v>
      </c>
      <c r="D63" s="1">
        <v>84000</v>
      </c>
    </row>
    <row r="64" spans="1:11" x14ac:dyDescent="0.25">
      <c r="A64" t="s">
        <v>95</v>
      </c>
      <c r="B64" s="2">
        <f>B61-B62-B63</f>
        <v>415604000</v>
      </c>
      <c r="C64" s="2">
        <f>C61-C62-C63</f>
        <v>237488000</v>
      </c>
      <c r="D64" s="2">
        <f>D61-D62-D63</f>
        <v>178116000</v>
      </c>
    </row>
    <row r="65" spans="1:4" x14ac:dyDescent="0.25">
      <c r="A65" t="s">
        <v>96</v>
      </c>
      <c r="B65" s="1"/>
      <c r="C65" s="112">
        <f>C61/B61</f>
        <v>0.5714285714285714</v>
      </c>
      <c r="D65" s="10">
        <f>D61/B61</f>
        <v>0.42857142857142855</v>
      </c>
    </row>
    <row r="66" spans="1:4" x14ac:dyDescent="0.25">
      <c r="A66" t="s">
        <v>97</v>
      </c>
      <c r="B66" s="1"/>
      <c r="C66" s="109"/>
      <c r="D66" s="109"/>
    </row>
    <row r="67" spans="1:4" x14ac:dyDescent="0.25">
      <c r="A67" s="110" t="s">
        <v>86</v>
      </c>
      <c r="B67" s="2">
        <f>C56</f>
        <v>0.13</v>
      </c>
      <c r="C67" s="2">
        <f>(K35+K40+L37)*363/100</f>
        <v>105018767.7</v>
      </c>
      <c r="D67" s="2">
        <f>(K45+K50+L46)*363/100</f>
        <v>2526764.7934649996</v>
      </c>
    </row>
    <row r="68" spans="1:4" x14ac:dyDescent="0.25">
      <c r="A68" s="110" t="s">
        <v>102</v>
      </c>
      <c r="B68" s="2"/>
      <c r="C68" s="2">
        <f>C64-C67</f>
        <v>132469232.3</v>
      </c>
      <c r="D68" s="2">
        <f>D64-D67</f>
        <v>175589235.20653501</v>
      </c>
    </row>
    <row r="69" spans="1:4" x14ac:dyDescent="0.25">
      <c r="A69" s="110" t="s">
        <v>99</v>
      </c>
      <c r="B69" s="10">
        <v>0.20799999999999999</v>
      </c>
      <c r="C69" s="10">
        <v>0.20799999999999999</v>
      </c>
      <c r="D69" s="10">
        <v>0.20799999999999999</v>
      </c>
    </row>
    <row r="70" spans="1:4" x14ac:dyDescent="0.25">
      <c r="A70" s="110" t="s">
        <v>100</v>
      </c>
      <c r="B70" s="2"/>
      <c r="C70" s="2">
        <f>C68*C69</f>
        <v>27553600.318399999</v>
      </c>
      <c r="D70" s="2">
        <f>D68*D69</f>
        <v>36522560.922959283</v>
      </c>
    </row>
    <row r="72" spans="1:4" x14ac:dyDescent="0.25">
      <c r="A72" t="s">
        <v>101</v>
      </c>
    </row>
    <row r="73" spans="1:4" x14ac:dyDescent="0.25">
      <c r="A73" s="108" t="s">
        <v>89</v>
      </c>
      <c r="C73" t="s">
        <v>93</v>
      </c>
      <c r="D73" t="s">
        <v>94</v>
      </c>
    </row>
    <row r="74" spans="1:4" x14ac:dyDescent="0.25">
      <c r="A74" t="s">
        <v>90</v>
      </c>
      <c r="B74" s="1">
        <v>420000000</v>
      </c>
      <c r="C74" s="1">
        <v>240000000</v>
      </c>
      <c r="D74" s="1">
        <v>180000000</v>
      </c>
    </row>
    <row r="75" spans="1:4" x14ac:dyDescent="0.25">
      <c r="A75" t="s">
        <v>91</v>
      </c>
      <c r="B75" s="1">
        <f>B74*1%</f>
        <v>4200000</v>
      </c>
      <c r="C75" s="1">
        <f t="shared" ref="C75" si="5">C74*1%</f>
        <v>2400000</v>
      </c>
      <c r="D75" s="1">
        <f t="shared" ref="D75" si="6">D74*1%</f>
        <v>1800000</v>
      </c>
    </row>
    <row r="76" spans="1:4" x14ac:dyDescent="0.25">
      <c r="A76" t="s">
        <v>92</v>
      </c>
      <c r="B76" s="1">
        <f>112000+84000</f>
        <v>196000</v>
      </c>
      <c r="C76" s="1">
        <v>112000</v>
      </c>
      <c r="D76" s="1">
        <v>84000</v>
      </c>
    </row>
    <row r="77" spans="1:4" x14ac:dyDescent="0.25">
      <c r="A77" t="s">
        <v>95</v>
      </c>
      <c r="B77" s="2">
        <f>B74-B75-B76</f>
        <v>415604000</v>
      </c>
      <c r="C77" s="2">
        <f>C74-C75-C76</f>
        <v>237488000</v>
      </c>
      <c r="D77" s="2">
        <f>D74-D75-D76</f>
        <v>178116000</v>
      </c>
    </row>
    <row r="78" spans="1:4" x14ac:dyDescent="0.25">
      <c r="A78" t="s">
        <v>96</v>
      </c>
      <c r="B78" s="1"/>
      <c r="C78" s="112">
        <f>C74/B74</f>
        <v>0.5714285714285714</v>
      </c>
      <c r="D78" s="10">
        <f>D74/B74</f>
        <v>0.42857142857142855</v>
      </c>
    </row>
    <row r="79" spans="1:4" x14ac:dyDescent="0.25">
      <c r="A79" t="s">
        <v>97</v>
      </c>
      <c r="B79" s="1"/>
      <c r="C79" s="109"/>
      <c r="D79" s="109"/>
    </row>
    <row r="80" spans="1:4" x14ac:dyDescent="0.25">
      <c r="A80" s="110" t="s">
        <v>88</v>
      </c>
      <c r="B80" s="2">
        <f>C55</f>
        <v>220542386.02542856</v>
      </c>
      <c r="C80" s="2">
        <f>K35+K40+L37</f>
        <v>28930790</v>
      </c>
      <c r="D80" s="2">
        <f>K45+K50+L46</f>
        <v>696078.45549999992</v>
      </c>
    </row>
    <row r="81" spans="1:4" x14ac:dyDescent="0.25">
      <c r="A81" s="110" t="s">
        <v>102</v>
      </c>
      <c r="B81" s="2"/>
      <c r="C81" s="2">
        <f>C77-C80</f>
        <v>208557210</v>
      </c>
      <c r="D81" s="2">
        <f>D77-D80</f>
        <v>177419921.54449999</v>
      </c>
    </row>
    <row r="82" spans="1:4" x14ac:dyDescent="0.25">
      <c r="A82" s="110" t="s">
        <v>103</v>
      </c>
      <c r="B82" s="10">
        <v>0.13</v>
      </c>
      <c r="C82" s="10">
        <v>0.13</v>
      </c>
      <c r="D82" s="10">
        <v>0.13</v>
      </c>
    </row>
    <row r="83" spans="1:4" x14ac:dyDescent="0.25">
      <c r="A83" s="110" t="s">
        <v>100</v>
      </c>
      <c r="B83" s="2"/>
      <c r="C83" s="2">
        <f>C81*C82</f>
        <v>27112437.300000001</v>
      </c>
      <c r="D83" s="2">
        <f>D81*D82</f>
        <v>23064589.800785001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A64DE-7578-4B5E-A5E7-CA0FFED27CEA}">
  <dimension ref="A2:M83"/>
  <sheetViews>
    <sheetView topLeftCell="A34" workbookViewId="0">
      <selection activeCell="C12" sqref="C12"/>
    </sheetView>
  </sheetViews>
  <sheetFormatPr defaultRowHeight="15" x14ac:dyDescent="0.25"/>
  <cols>
    <col min="1" max="1" width="55.28515625" customWidth="1"/>
    <col min="2" max="2" width="28.7109375" customWidth="1"/>
    <col min="3" max="3" width="19.28515625" customWidth="1"/>
    <col min="4" max="4" width="17" customWidth="1"/>
    <col min="10" max="10" width="15.140625" bestFit="1" customWidth="1"/>
    <col min="11" max="11" width="14.28515625" bestFit="1" customWidth="1"/>
    <col min="12" max="12" width="18.140625" bestFit="1" customWidth="1"/>
  </cols>
  <sheetData>
    <row r="2" spans="1:3" x14ac:dyDescent="0.25">
      <c r="A2" t="s">
        <v>57</v>
      </c>
      <c r="B2" t="s">
        <v>58</v>
      </c>
    </row>
    <row r="3" spans="1:3" x14ac:dyDescent="0.25">
      <c r="A3" t="s">
        <v>59</v>
      </c>
      <c r="B3" t="s">
        <v>60</v>
      </c>
      <c r="C3" s="106">
        <v>1021000</v>
      </c>
    </row>
    <row r="4" spans="1:3" x14ac:dyDescent="0.25">
      <c r="A4" t="s">
        <v>61</v>
      </c>
      <c r="B4" t="s">
        <v>62</v>
      </c>
    </row>
    <row r="5" spans="1:3" x14ac:dyDescent="0.25">
      <c r="A5" t="s">
        <v>63</v>
      </c>
      <c r="B5" t="s">
        <v>64</v>
      </c>
    </row>
    <row r="6" spans="1:3" x14ac:dyDescent="0.25">
      <c r="A6" t="s">
        <v>65</v>
      </c>
      <c r="B6" t="s">
        <v>66</v>
      </c>
    </row>
    <row r="7" spans="1:3" x14ac:dyDescent="0.25">
      <c r="A7" t="s">
        <v>67</v>
      </c>
      <c r="B7" t="s">
        <v>68</v>
      </c>
    </row>
    <row r="8" spans="1:3" x14ac:dyDescent="0.25">
      <c r="A8" t="s">
        <v>69</v>
      </c>
      <c r="B8" t="s">
        <v>70</v>
      </c>
    </row>
    <row r="9" spans="1:3" x14ac:dyDescent="0.25">
      <c r="A9" t="s">
        <v>71</v>
      </c>
      <c r="B9" t="s">
        <v>72</v>
      </c>
    </row>
    <row r="10" spans="1:3" x14ac:dyDescent="0.25">
      <c r="A10" t="s">
        <v>73</v>
      </c>
      <c r="B10" t="s">
        <v>74</v>
      </c>
    </row>
    <row r="11" spans="1:3" x14ac:dyDescent="0.25">
      <c r="A11" t="s">
        <v>75</v>
      </c>
      <c r="B11" t="s">
        <v>76</v>
      </c>
    </row>
    <row r="12" spans="1:3" x14ac:dyDescent="0.25">
      <c r="A12" t="s">
        <v>77</v>
      </c>
      <c r="C12">
        <v>594.4</v>
      </c>
    </row>
    <row r="13" spans="1:3" x14ac:dyDescent="0.25">
      <c r="A13" t="s">
        <v>78</v>
      </c>
      <c r="C13">
        <v>186.69</v>
      </c>
    </row>
    <row r="14" spans="1:3" x14ac:dyDescent="0.25">
      <c r="A14" t="s">
        <v>79</v>
      </c>
      <c r="C14">
        <v>1974</v>
      </c>
    </row>
    <row r="15" spans="1:3" x14ac:dyDescent="0.25">
      <c r="A15" t="s">
        <v>80</v>
      </c>
      <c r="C15">
        <v>45100</v>
      </c>
    </row>
    <row r="16" spans="1:3" x14ac:dyDescent="0.25">
      <c r="A16" s="107" t="s">
        <v>81</v>
      </c>
      <c r="B16" s="107"/>
      <c r="C16" s="11">
        <f>(C15-C13)*C12</f>
        <v>26696471.463999998</v>
      </c>
    </row>
    <row r="18" spans="1:3" x14ac:dyDescent="0.25">
      <c r="A18" s="108" t="s">
        <v>37</v>
      </c>
    </row>
    <row r="19" spans="1:3" x14ac:dyDescent="0.25">
      <c r="A19" t="s">
        <v>78</v>
      </c>
      <c r="C19">
        <v>186.69</v>
      </c>
    </row>
    <row r="20" spans="1:3" x14ac:dyDescent="0.25">
      <c r="A20" t="s">
        <v>82</v>
      </c>
      <c r="C20" s="1">
        <v>5500</v>
      </c>
    </row>
    <row r="21" spans="1:3" x14ac:dyDescent="0.25">
      <c r="C21" s="1">
        <f>C20*C19</f>
        <v>1026795</v>
      </c>
    </row>
    <row r="22" spans="1:3" x14ac:dyDescent="0.25">
      <c r="A22" t="s">
        <v>45</v>
      </c>
      <c r="C22" s="10">
        <v>0.34710000000000002</v>
      </c>
    </row>
    <row r="23" spans="1:3" x14ac:dyDescent="0.25">
      <c r="A23" t="s">
        <v>83</v>
      </c>
      <c r="C23" s="2">
        <f>C21*C22</f>
        <v>356400.54450000002</v>
      </c>
    </row>
    <row r="24" spans="1:3" x14ac:dyDescent="0.25">
      <c r="A24" s="107" t="s">
        <v>84</v>
      </c>
      <c r="C24" s="12">
        <f>C21-C23</f>
        <v>670394.45549999992</v>
      </c>
    </row>
    <row r="26" spans="1:3" x14ac:dyDescent="0.25">
      <c r="A26" s="107" t="s">
        <v>85</v>
      </c>
      <c r="B26" s="107"/>
      <c r="C26" s="12">
        <f>C24+C16</f>
        <v>27366865.919499997</v>
      </c>
    </row>
    <row r="27" spans="1:3" x14ac:dyDescent="0.25">
      <c r="A27" s="110" t="s">
        <v>5</v>
      </c>
      <c r="B27" s="107"/>
      <c r="C27" s="111">
        <f>composite!E28</f>
        <v>2156990</v>
      </c>
    </row>
    <row r="28" spans="1:3" x14ac:dyDescent="0.25">
      <c r="A28" s="110" t="s">
        <v>87</v>
      </c>
      <c r="B28" s="107"/>
      <c r="C28" s="111">
        <f>composite!F25</f>
        <v>20000</v>
      </c>
    </row>
    <row r="29" spans="1:3" x14ac:dyDescent="0.25">
      <c r="A29" s="107" t="s">
        <v>88</v>
      </c>
      <c r="B29" s="107"/>
      <c r="C29" s="12">
        <f>SUM(C26:C28)</f>
        <v>29543855.919499997</v>
      </c>
    </row>
    <row r="30" spans="1:3" x14ac:dyDescent="0.25">
      <c r="A30" s="107" t="s">
        <v>86</v>
      </c>
      <c r="B30" s="107"/>
      <c r="C30" s="12">
        <f>C29*363/100</f>
        <v>107244196.987785</v>
      </c>
    </row>
    <row r="33" spans="1:13" x14ac:dyDescent="0.25">
      <c r="A33" t="s">
        <v>98</v>
      </c>
    </row>
    <row r="34" spans="1:13" x14ac:dyDescent="0.25">
      <c r="A34" s="108" t="s">
        <v>89</v>
      </c>
      <c r="C34" t="s">
        <v>93</v>
      </c>
      <c r="D34" t="s">
        <v>94</v>
      </c>
      <c r="K34" t="s">
        <v>21</v>
      </c>
      <c r="L34" t="s">
        <v>22</v>
      </c>
    </row>
    <row r="35" spans="1:13" x14ac:dyDescent="0.25">
      <c r="A35" t="s">
        <v>90</v>
      </c>
      <c r="B35" s="1">
        <v>420000000</v>
      </c>
      <c r="C35" s="1">
        <v>240000000</v>
      </c>
      <c r="D35" s="1">
        <v>180000000</v>
      </c>
      <c r="E35">
        <f>C35/B35</f>
        <v>0.5714285714285714</v>
      </c>
      <c r="K35" s="2">
        <f>C16</f>
        <v>26696471.463999998</v>
      </c>
      <c r="L35" s="2">
        <f>K35</f>
        <v>26696471.463999998</v>
      </c>
      <c r="M35" s="1"/>
    </row>
    <row r="36" spans="1:13" x14ac:dyDescent="0.25">
      <c r="A36" t="s">
        <v>91</v>
      </c>
      <c r="B36" s="1">
        <f>B35*1%</f>
        <v>4200000</v>
      </c>
      <c r="C36" s="1">
        <f t="shared" ref="C36:D36" si="0">C35*1%</f>
        <v>2400000</v>
      </c>
      <c r="D36" s="1">
        <f t="shared" si="0"/>
        <v>1800000</v>
      </c>
      <c r="J36" t="s">
        <v>31</v>
      </c>
      <c r="K36" s="2">
        <v>1000000</v>
      </c>
      <c r="L36" s="12">
        <f>ROUND(L35*1%,0)</f>
        <v>266965</v>
      </c>
      <c r="M36" s="2"/>
    </row>
    <row r="37" spans="1:13" x14ac:dyDescent="0.25">
      <c r="A37" t="s">
        <v>92</v>
      </c>
      <c r="B37" s="1">
        <f>112000+84000</f>
        <v>196000</v>
      </c>
      <c r="C37" s="1">
        <v>112000</v>
      </c>
      <c r="D37" s="1">
        <v>84000</v>
      </c>
      <c r="K37" s="2">
        <f>MROUND(K35-K36,500)</f>
        <v>25696500</v>
      </c>
      <c r="L37">
        <v>20000</v>
      </c>
      <c r="M37" t="s">
        <v>54</v>
      </c>
    </row>
    <row r="38" spans="1:13" x14ac:dyDescent="0.25">
      <c r="A38" t="s">
        <v>95</v>
      </c>
      <c r="B38" s="2">
        <f>B35-B36-B37</f>
        <v>415604000</v>
      </c>
      <c r="C38" s="2">
        <f>C35-C36-C37</f>
        <v>237488000</v>
      </c>
      <c r="D38" s="2">
        <f>D35-D36-D37</f>
        <v>178116000</v>
      </c>
      <c r="J38" t="s">
        <v>53</v>
      </c>
      <c r="K38" s="2">
        <f>K37*8%</f>
        <v>2055720</v>
      </c>
      <c r="M38" s="1"/>
    </row>
    <row r="39" spans="1:13" x14ac:dyDescent="0.25">
      <c r="A39" t="s">
        <v>96</v>
      </c>
      <c r="B39" s="1"/>
      <c r="C39" s="112">
        <f>C35/B35</f>
        <v>0.5714285714285714</v>
      </c>
      <c r="D39" s="10">
        <f>D35/B35</f>
        <v>0.42857142857142855</v>
      </c>
      <c r="K39" s="1">
        <v>38750</v>
      </c>
    </row>
    <row r="40" spans="1:13" x14ac:dyDescent="0.25">
      <c r="A40" t="s">
        <v>97</v>
      </c>
      <c r="B40" s="1"/>
      <c r="C40" s="109"/>
      <c r="D40" s="109"/>
      <c r="G40">
        <f>100-57.14</f>
        <v>42.86</v>
      </c>
      <c r="K40" s="11">
        <f>K38+K39</f>
        <v>2094470</v>
      </c>
    </row>
    <row r="41" spans="1:13" x14ac:dyDescent="0.25">
      <c r="A41" s="110" t="s">
        <v>86</v>
      </c>
      <c r="B41" s="2">
        <f>C30</f>
        <v>107244196.987785</v>
      </c>
      <c r="C41" s="2">
        <f>B41*C39</f>
        <v>61282398.278734282</v>
      </c>
      <c r="D41" s="2">
        <f>B41*D39</f>
        <v>45961798.709050708</v>
      </c>
    </row>
    <row r="42" spans="1:13" x14ac:dyDescent="0.25">
      <c r="A42" s="110" t="s">
        <v>102</v>
      </c>
      <c r="B42" s="2"/>
      <c r="C42" s="2">
        <f>C38-C41</f>
        <v>176205601.72126573</v>
      </c>
      <c r="D42" s="2">
        <f>D38-D41</f>
        <v>132154201.29094929</v>
      </c>
    </row>
    <row r="43" spans="1:13" x14ac:dyDescent="0.25">
      <c r="A43" s="110" t="s">
        <v>99</v>
      </c>
      <c r="B43" s="10">
        <v>0.20799999999999999</v>
      </c>
      <c r="C43" s="10">
        <v>0.20799999999999999</v>
      </c>
      <c r="D43" s="10">
        <v>0.20799999999999999</v>
      </c>
    </row>
    <row r="44" spans="1:13" x14ac:dyDescent="0.25">
      <c r="A44" s="110" t="s">
        <v>100</v>
      </c>
      <c r="B44" s="2"/>
      <c r="C44" s="2">
        <f>C42*C43</f>
        <v>36650765.158023268</v>
      </c>
      <c r="D44" s="2">
        <f>D42*D43</f>
        <v>27488073.868517451</v>
      </c>
      <c r="K44" t="s">
        <v>21</v>
      </c>
      <c r="L44" t="s">
        <v>22</v>
      </c>
    </row>
    <row r="45" spans="1:13" x14ac:dyDescent="0.25">
      <c r="K45" s="2">
        <f>C24</f>
        <v>670394.45549999992</v>
      </c>
      <c r="L45" s="2">
        <f>K45</f>
        <v>670394.45549999992</v>
      </c>
      <c r="M45" s="1"/>
    </row>
    <row r="46" spans="1:13" x14ac:dyDescent="0.25">
      <c r="A46" t="s">
        <v>101</v>
      </c>
      <c r="J46" t="s">
        <v>105</v>
      </c>
      <c r="K46" s="2">
        <v>650000</v>
      </c>
      <c r="L46" s="12">
        <f>ROUND(L45*1%,0)</f>
        <v>6704</v>
      </c>
      <c r="M46" s="2"/>
    </row>
    <row r="47" spans="1:13" x14ac:dyDescent="0.25">
      <c r="A47" s="108" t="s">
        <v>89</v>
      </c>
      <c r="C47" t="s">
        <v>93</v>
      </c>
      <c r="D47" t="s">
        <v>94</v>
      </c>
      <c r="K47" s="2">
        <f>MROUND(K45-K46,500)</f>
        <v>20500</v>
      </c>
      <c r="L47">
        <v>20000</v>
      </c>
      <c r="M47" t="s">
        <v>54</v>
      </c>
    </row>
    <row r="48" spans="1:13" x14ac:dyDescent="0.25">
      <c r="A48" t="s">
        <v>90</v>
      </c>
      <c r="B48" s="1">
        <v>420000000</v>
      </c>
      <c r="C48" s="1">
        <v>240000000</v>
      </c>
      <c r="D48" s="1">
        <v>180000000</v>
      </c>
      <c r="J48" t="s">
        <v>53</v>
      </c>
      <c r="K48" s="2">
        <f>K47*6%</f>
        <v>1230</v>
      </c>
      <c r="M48" s="1"/>
    </row>
    <row r="49" spans="1:11" x14ac:dyDescent="0.25">
      <c r="A49" t="s">
        <v>91</v>
      </c>
      <c r="B49" s="1">
        <f>B48*1%</f>
        <v>4200000</v>
      </c>
      <c r="C49" s="1">
        <f t="shared" ref="C49:D49" si="1">C48*1%</f>
        <v>2400000</v>
      </c>
      <c r="D49" s="1">
        <f t="shared" si="1"/>
        <v>1800000</v>
      </c>
      <c r="K49" s="1">
        <v>17750</v>
      </c>
    </row>
    <row r="50" spans="1:11" x14ac:dyDescent="0.25">
      <c r="A50" t="s">
        <v>92</v>
      </c>
      <c r="B50" s="1">
        <f>112000+84000</f>
        <v>196000</v>
      </c>
      <c r="C50" s="1">
        <v>112000</v>
      </c>
      <c r="D50" s="1">
        <v>84000</v>
      </c>
      <c r="K50" s="11">
        <f>K48+K49</f>
        <v>18980</v>
      </c>
    </row>
    <row r="51" spans="1:11" x14ac:dyDescent="0.25">
      <c r="A51" t="s">
        <v>95</v>
      </c>
      <c r="B51" s="2">
        <f>B48-B49-B50</f>
        <v>415604000</v>
      </c>
      <c r="C51" s="2">
        <f>C48-C49-C50</f>
        <v>237488000</v>
      </c>
      <c r="D51" s="2">
        <f>D48-D49-D50</f>
        <v>178116000</v>
      </c>
    </row>
    <row r="52" spans="1:11" x14ac:dyDescent="0.25">
      <c r="A52" t="s">
        <v>96</v>
      </c>
      <c r="B52" s="1"/>
      <c r="C52" s="112">
        <f>C48/B48</f>
        <v>0.5714285714285714</v>
      </c>
      <c r="D52" s="10">
        <f>D48/B48</f>
        <v>0.42857142857142855</v>
      </c>
    </row>
    <row r="53" spans="1:11" x14ac:dyDescent="0.25">
      <c r="A53" t="s">
        <v>97</v>
      </c>
      <c r="B53" s="1"/>
      <c r="C53" s="109"/>
      <c r="D53" s="109"/>
    </row>
    <row r="54" spans="1:11" x14ac:dyDescent="0.25">
      <c r="A54" s="110" t="s">
        <v>88</v>
      </c>
      <c r="B54" s="2">
        <f>C29</f>
        <v>29543855.919499997</v>
      </c>
      <c r="C54" s="2">
        <f>B54*C52</f>
        <v>16882203.382571425</v>
      </c>
      <c r="D54" s="2">
        <f>B54*D52</f>
        <v>12661652.53692857</v>
      </c>
    </row>
    <row r="55" spans="1:11" x14ac:dyDescent="0.25">
      <c r="A55" s="110" t="s">
        <v>102</v>
      </c>
      <c r="B55" s="2"/>
      <c r="C55" s="2">
        <f>C51-C54</f>
        <v>220605796.61742857</v>
      </c>
      <c r="D55" s="2">
        <f>D51-D54</f>
        <v>165454347.46307144</v>
      </c>
    </row>
    <row r="56" spans="1:11" x14ac:dyDescent="0.25">
      <c r="A56" s="110" t="s">
        <v>103</v>
      </c>
      <c r="B56" s="10">
        <v>0.13</v>
      </c>
      <c r="C56" s="10">
        <v>0.13</v>
      </c>
      <c r="D56" s="10">
        <v>0.13</v>
      </c>
    </row>
    <row r="57" spans="1:11" x14ac:dyDescent="0.25">
      <c r="A57" s="110" t="s">
        <v>100</v>
      </c>
      <c r="B57" s="2"/>
      <c r="C57" s="2">
        <f>C55*C56</f>
        <v>28678753.560265716</v>
      </c>
      <c r="D57" s="2">
        <f>D55*D56</f>
        <v>21509065.170199286</v>
      </c>
    </row>
    <row r="59" spans="1:11" x14ac:dyDescent="0.25">
      <c r="A59" t="s">
        <v>104</v>
      </c>
    </row>
    <row r="60" spans="1:11" x14ac:dyDescent="0.25">
      <c r="A60" s="108" t="s">
        <v>89</v>
      </c>
      <c r="C60" t="s">
        <v>93</v>
      </c>
      <c r="D60" t="s">
        <v>94</v>
      </c>
    </row>
    <row r="61" spans="1:11" x14ac:dyDescent="0.25">
      <c r="A61" t="s">
        <v>90</v>
      </c>
      <c r="B61" s="1">
        <v>420000000</v>
      </c>
      <c r="C61" s="1">
        <v>240000000</v>
      </c>
      <c r="D61" s="1">
        <v>180000000</v>
      </c>
    </row>
    <row r="62" spans="1:11" x14ac:dyDescent="0.25">
      <c r="A62" t="s">
        <v>91</v>
      </c>
      <c r="B62" s="1">
        <f>B61*1%</f>
        <v>4200000</v>
      </c>
      <c r="C62" s="1">
        <f t="shared" ref="C62:D62" si="2">C61*1%</f>
        <v>2400000</v>
      </c>
      <c r="D62" s="1">
        <f t="shared" si="2"/>
        <v>1800000</v>
      </c>
    </row>
    <row r="63" spans="1:11" x14ac:dyDescent="0.25">
      <c r="A63" t="s">
        <v>92</v>
      </c>
      <c r="B63" s="1">
        <f>112000+84000</f>
        <v>196000</v>
      </c>
      <c r="C63" s="1">
        <v>112000</v>
      </c>
      <c r="D63" s="1">
        <v>84000</v>
      </c>
    </row>
    <row r="64" spans="1:11" x14ac:dyDescent="0.25">
      <c r="A64" t="s">
        <v>95</v>
      </c>
      <c r="B64" s="2">
        <f>B61-B62-B63</f>
        <v>415604000</v>
      </c>
      <c r="C64" s="2">
        <f>C61-C62-C63</f>
        <v>237488000</v>
      </c>
      <c r="D64" s="2">
        <f>D61-D62-D63</f>
        <v>178116000</v>
      </c>
    </row>
    <row r="65" spans="1:4" x14ac:dyDescent="0.25">
      <c r="A65" t="s">
        <v>96</v>
      </c>
      <c r="B65" s="1"/>
      <c r="C65" s="112">
        <f>C61/B61</f>
        <v>0.5714285714285714</v>
      </c>
      <c r="D65" s="10">
        <f>D61/B61</f>
        <v>0.42857142857142855</v>
      </c>
    </row>
    <row r="66" spans="1:4" x14ac:dyDescent="0.25">
      <c r="A66" t="s">
        <v>97</v>
      </c>
      <c r="B66" s="1"/>
      <c r="C66" s="109"/>
      <c r="D66" s="109"/>
    </row>
    <row r="67" spans="1:4" x14ac:dyDescent="0.25">
      <c r="A67" s="110" t="s">
        <v>86</v>
      </c>
      <c r="B67" s="2">
        <f>C56</f>
        <v>0.13</v>
      </c>
      <c r="C67" s="2">
        <f>(K35+K40+L37)*363/100</f>
        <v>104583717.51431999</v>
      </c>
      <c r="D67" s="2">
        <f>(K45+K50+L46)*363/100</f>
        <v>2526764.7934649996</v>
      </c>
    </row>
    <row r="68" spans="1:4" x14ac:dyDescent="0.25">
      <c r="A68" s="110" t="s">
        <v>102</v>
      </c>
      <c r="B68" s="2"/>
      <c r="C68" s="2">
        <f>C64-C67</f>
        <v>132904282.48568001</v>
      </c>
      <c r="D68" s="2">
        <f>D64-D67</f>
        <v>175589235.20653501</v>
      </c>
    </row>
    <row r="69" spans="1:4" x14ac:dyDescent="0.25">
      <c r="A69" s="110" t="s">
        <v>99</v>
      </c>
      <c r="B69" s="10">
        <v>0.20799999999999999</v>
      </c>
      <c r="C69" s="10">
        <v>0.20799999999999999</v>
      </c>
      <c r="D69" s="10">
        <v>0.20799999999999999</v>
      </c>
    </row>
    <row r="70" spans="1:4" x14ac:dyDescent="0.25">
      <c r="A70" s="110" t="s">
        <v>100</v>
      </c>
      <c r="B70" s="2"/>
      <c r="C70" s="2">
        <f>C68*C69</f>
        <v>27644090.757021442</v>
      </c>
      <c r="D70" s="2">
        <f>D68*D69</f>
        <v>36522560.922959283</v>
      </c>
    </row>
    <row r="72" spans="1:4" x14ac:dyDescent="0.25">
      <c r="A72" t="s">
        <v>101</v>
      </c>
    </row>
    <row r="73" spans="1:4" x14ac:dyDescent="0.25">
      <c r="A73" s="108" t="s">
        <v>89</v>
      </c>
      <c r="C73" t="s">
        <v>93</v>
      </c>
      <c r="D73" t="s">
        <v>94</v>
      </c>
    </row>
    <row r="74" spans="1:4" x14ac:dyDescent="0.25">
      <c r="A74" t="s">
        <v>90</v>
      </c>
      <c r="B74" s="1">
        <v>420000000</v>
      </c>
      <c r="C74" s="1">
        <v>240000000</v>
      </c>
      <c r="D74" s="1">
        <v>180000000</v>
      </c>
    </row>
    <row r="75" spans="1:4" x14ac:dyDescent="0.25">
      <c r="A75" t="s">
        <v>91</v>
      </c>
      <c r="B75" s="1">
        <f>B74*1%</f>
        <v>4200000</v>
      </c>
      <c r="C75" s="1">
        <f t="shared" ref="C75:D75" si="3">C74*1%</f>
        <v>2400000</v>
      </c>
      <c r="D75" s="1">
        <f t="shared" si="3"/>
        <v>1800000</v>
      </c>
    </row>
    <row r="76" spans="1:4" x14ac:dyDescent="0.25">
      <c r="A76" t="s">
        <v>92</v>
      </c>
      <c r="B76" s="1">
        <f>112000+84000</f>
        <v>196000</v>
      </c>
      <c r="C76" s="1">
        <v>112000</v>
      </c>
      <c r="D76" s="1">
        <v>84000</v>
      </c>
    </row>
    <row r="77" spans="1:4" x14ac:dyDescent="0.25">
      <c r="A77" t="s">
        <v>95</v>
      </c>
      <c r="B77" s="2">
        <f>B74-B75-B76</f>
        <v>415604000</v>
      </c>
      <c r="C77" s="2">
        <f>C74-C75-C76</f>
        <v>237488000</v>
      </c>
      <c r="D77" s="2">
        <f>D74-D75-D76</f>
        <v>178116000</v>
      </c>
    </row>
    <row r="78" spans="1:4" x14ac:dyDescent="0.25">
      <c r="A78" t="s">
        <v>96</v>
      </c>
      <c r="B78" s="1"/>
      <c r="C78" s="112">
        <f>C74/B74</f>
        <v>0.5714285714285714</v>
      </c>
      <c r="D78" s="10">
        <f>D74/B74</f>
        <v>0.42857142857142855</v>
      </c>
    </row>
    <row r="79" spans="1:4" x14ac:dyDescent="0.25">
      <c r="A79" t="s">
        <v>97</v>
      </c>
      <c r="B79" s="1"/>
      <c r="C79" s="109"/>
      <c r="D79" s="109"/>
    </row>
    <row r="80" spans="1:4" x14ac:dyDescent="0.25">
      <c r="A80" s="110" t="s">
        <v>88</v>
      </c>
      <c r="B80" s="2">
        <f>C55</f>
        <v>220605796.61742857</v>
      </c>
      <c r="C80" s="2">
        <f>K35+K40+L37</f>
        <v>28810941.463999998</v>
      </c>
      <c r="D80" s="2">
        <f>K45+K50+L46</f>
        <v>696078.45549999992</v>
      </c>
    </row>
    <row r="81" spans="1:4" x14ac:dyDescent="0.25">
      <c r="A81" s="110" t="s">
        <v>102</v>
      </c>
      <c r="B81" s="2"/>
      <c r="C81" s="2">
        <f>C77-C80</f>
        <v>208677058.53600001</v>
      </c>
      <c r="D81" s="2">
        <f>D77-D80</f>
        <v>177419921.54449999</v>
      </c>
    </row>
    <row r="82" spans="1:4" x14ac:dyDescent="0.25">
      <c r="A82" s="110" t="s">
        <v>103</v>
      </c>
      <c r="B82" s="10">
        <v>0.13</v>
      </c>
      <c r="C82" s="10">
        <v>0.13</v>
      </c>
      <c r="D82" s="10">
        <v>0.13</v>
      </c>
    </row>
    <row r="83" spans="1:4" x14ac:dyDescent="0.25">
      <c r="A83" s="110" t="s">
        <v>100</v>
      </c>
      <c r="B83" s="2"/>
      <c r="C83" s="2">
        <f>C81*C82</f>
        <v>27128017.609680004</v>
      </c>
      <c r="D83" s="2">
        <f>D81*D82</f>
        <v>23064589.800785001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composite</vt:lpstr>
      <vt:lpstr>LB-considered for valuation</vt:lpstr>
      <vt:lpstr>working</vt:lpstr>
      <vt:lpstr>2001RR</vt:lpstr>
      <vt:lpstr>Option-1(L + B) (FSI-1)</vt:lpstr>
      <vt:lpstr>Option-2(L + B)(FSI-2.5)</vt:lpstr>
      <vt:lpstr>Option-1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2024-11-27T09:20:09Z</dcterms:modified>
</cp:coreProperties>
</file>