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SARB Churchgate\Tapas Champaklal Mehta\"/>
    </mc:Choice>
  </mc:AlternateContent>
  <xr:revisionPtr revIDLastSave="0" documentId="13_ncr:1_{8D5C88BA-BE9C-43D4-B154-3958F3C568F4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24" i="23" l="1"/>
  <c r="K31" i="23"/>
  <c r="U159" i="45"/>
  <c r="G9" i="4"/>
  <c r="C14" i="4"/>
  <c r="G14" i="4" s="1"/>
  <c r="B13" i="4"/>
  <c r="B12" i="4"/>
  <c r="C13" i="4"/>
  <c r="G13" i="4" s="1"/>
  <c r="H13" i="4"/>
  <c r="G15" i="4"/>
  <c r="H15" i="4"/>
  <c r="D10" i="4"/>
  <c r="H3" i="4"/>
  <c r="H4" i="4"/>
  <c r="H5" i="4"/>
  <c r="H6" i="4"/>
  <c r="H7" i="4"/>
  <c r="H8" i="4"/>
  <c r="H9" i="4"/>
  <c r="H10" i="4"/>
  <c r="H11" i="4"/>
  <c r="H12" i="4"/>
  <c r="C12" i="4"/>
  <c r="B8" i="4"/>
  <c r="G8" i="4"/>
  <c r="B4" i="4"/>
  <c r="R10" i="4"/>
  <c r="P10" i="4"/>
  <c r="S10" i="4"/>
  <c r="Q10" i="4"/>
  <c r="P9" i="4"/>
  <c r="R9" i="4" s="1"/>
  <c r="Q9" i="4"/>
  <c r="S9" i="4" s="1"/>
  <c r="C3" i="4"/>
  <c r="C5" i="4"/>
  <c r="C6" i="4"/>
  <c r="C7" i="4"/>
  <c r="C9" i="4"/>
  <c r="C10" i="4"/>
  <c r="C11" i="4"/>
  <c r="C2" i="4"/>
  <c r="Q8" i="4"/>
  <c r="S8" i="4" s="1"/>
  <c r="R8" i="4"/>
  <c r="P8" i="4"/>
  <c r="Q7" i="4"/>
  <c r="S7" i="4" s="1"/>
  <c r="P7" i="4"/>
  <c r="R7" i="4" s="1"/>
  <c r="Q6" i="4"/>
  <c r="P6" i="4" s="1"/>
  <c r="D23" i="23"/>
  <c r="S5" i="4"/>
  <c r="S6" i="4"/>
  <c r="Q5" i="4"/>
  <c r="P5" i="4"/>
  <c r="Q4" i="4"/>
  <c r="Q3" i="4"/>
  <c r="Q2" i="4"/>
  <c r="I4" i="23"/>
  <c r="D2" i="25"/>
  <c r="F3" i="4"/>
  <c r="F4" i="4"/>
  <c r="F5" i="4"/>
  <c r="F6" i="4"/>
  <c r="F2" i="4"/>
  <c r="S4" i="4" l="1"/>
  <c r="R4" i="4"/>
  <c r="R3" i="4"/>
  <c r="R2" i="4"/>
  <c r="S2" i="4" l="1"/>
  <c r="S3" i="4"/>
  <c r="G4" i="4"/>
  <c r="G5" i="4"/>
  <c r="G6" i="4"/>
  <c r="D8" i="4"/>
  <c r="G3" i="4"/>
  <c r="G2" i="4"/>
  <c r="D11" i="4"/>
  <c r="I3" i="23" l="1"/>
  <c r="D7" i="4"/>
  <c r="C23" i="23" l="1"/>
  <c r="G25" i="4" l="1"/>
  <c r="G33" i="4" s="1"/>
  <c r="R6" i="4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H2" i="4" s="1"/>
  <c r="D3" i="4"/>
  <c r="D4" i="4"/>
  <c r="D5" i="4"/>
  <c r="D6" i="4"/>
  <c r="D9" i="4"/>
  <c r="G30" i="4"/>
  <c r="G31" i="4" s="1"/>
  <c r="D14" i="4"/>
  <c r="H14" i="4" s="1"/>
  <c r="J14" i="4"/>
  <c r="I14" i="4"/>
  <c r="J13" i="4"/>
  <c r="I13" i="4"/>
  <c r="J12" i="4"/>
  <c r="I12" i="4"/>
  <c r="J11" i="4"/>
  <c r="I11" i="4"/>
  <c r="J10" i="4"/>
  <c r="I10" i="4"/>
  <c r="H31" i="4" l="1"/>
  <c r="G34" i="4"/>
  <c r="G35" i="4" l="1"/>
  <c r="H33" i="4"/>
  <c r="C84" i="23" l="1"/>
  <c r="C8" i="23"/>
  <c r="C6" i="23"/>
  <c r="C10" i="23" l="1"/>
  <c r="C11" i="23" s="1"/>
  <c r="C12" i="23" s="1"/>
  <c r="C13" i="23" s="1"/>
  <c r="C16" i="23" l="1"/>
  <c r="C19" i="23" s="1"/>
  <c r="C21" i="23" l="1"/>
  <c r="C20" i="23"/>
  <c r="C25" i="23"/>
  <c r="F32" i="23"/>
  <c r="J18" i="4"/>
  <c r="I18" i="4"/>
  <c r="J17" i="4"/>
  <c r="I17" i="4"/>
  <c r="J16" i="4"/>
  <c r="I16" i="4"/>
  <c r="J15" i="4"/>
  <c r="I15" i="4"/>
  <c r="F34" i="23" l="1"/>
  <c r="F33" i="23"/>
  <c r="H33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R5" i="4" l="1"/>
  <c r="F15" i="4"/>
  <c r="F10" i="4"/>
  <c r="G10" i="4"/>
  <c r="G12" i="4"/>
  <c r="F12" i="4"/>
  <c r="F9" i="4"/>
  <c r="F8" i="4"/>
  <c r="F11" i="4"/>
  <c r="G11" i="4"/>
  <c r="F7" i="4"/>
  <c r="G7" i="4" s="1"/>
  <c r="F13" i="4"/>
  <c r="F14" i="4"/>
</calcChain>
</file>

<file path=xl/sharedStrings.xml><?xml version="1.0" encoding="utf-8"?>
<sst xmlns="http://schemas.openxmlformats.org/spreadsheetml/2006/main" count="112" uniqueCount="91">
  <si>
    <t>Sr. No.</t>
  </si>
  <si>
    <t>Value</t>
  </si>
  <si>
    <t>Floor</t>
  </si>
  <si>
    <t>Carpet area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</si>
  <si>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</si>
  <si>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</si>
  <si>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</si>
  <si>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</si>
  <si>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</si>
  <si>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</si>
  <si>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</si>
  <si>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</si>
  <si>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</si>
  <si>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</si>
  <si>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</si>
  <si>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</si>
  <si>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</si>
  <si>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</si>
  <si>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</si>
  <si>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</si>
  <si>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</si>
  <si>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</si>
  <si>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</si>
  <si>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</si>
  <si>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</si>
  <si>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</si>
  <si>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</si>
  <si>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</si>
  <si>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</si>
  <si>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</si>
  <si>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</si>
  <si>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</si>
  <si>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</si>
  <si>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</si>
  <si>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</si>
  <si>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</si>
  <si>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</si>
  <si>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</si>
  <si>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</si>
  <si>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</si>
  <si>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</si>
  <si>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</si>
  <si>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</si>
  <si>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</si>
  <si>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</si>
  <si>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</si>
  <si>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</si>
  <si>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</si>
  <si>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</si>
  <si>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</si>
  <si>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</si>
  <si>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</si>
  <si>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</si>
  <si>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</si>
  <si>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</si>
  <si>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</si>
  <si>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</si>
  <si>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</si>
  <si>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</si>
  <si>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</si>
  <si>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</si>
  <si>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</si>
  <si>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</si>
  <si>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</si>
  <si>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</si>
  <si>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</si>
  <si>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 xml:space="preserve">CA </t>
  </si>
  <si>
    <t>BUA (10%)</t>
  </si>
  <si>
    <t>Built up area (10%)</t>
  </si>
  <si>
    <t>As per Agreement</t>
  </si>
  <si>
    <t xml:space="preserve">Measurment </t>
  </si>
  <si>
    <t>1 BHK</t>
  </si>
  <si>
    <t>Ca</t>
  </si>
  <si>
    <t>BUA Rate</t>
  </si>
  <si>
    <t>CA Rate</t>
  </si>
  <si>
    <t>Lead No. 12385 NPA</t>
  </si>
  <si>
    <t>SBI -  SARB Churchgate  -Tapas Champaklal Mehta - Residential Flat No. 205, 2nd Floor, Platinum Tower 31, Plot No. 31, D N Nagar Manas CHSL, OFF J P ROad, Village - Andheri, Andheri West, Mumbai, 400053</t>
  </si>
  <si>
    <t>page</t>
  </si>
  <si>
    <t>2nd Flr</t>
  </si>
  <si>
    <t>Flat No.</t>
  </si>
  <si>
    <t>Same Bldg</t>
  </si>
  <si>
    <t>1 BHK (Previous report)</t>
  </si>
  <si>
    <t>Rate on Built up  area (10%)</t>
  </si>
  <si>
    <t>03.03.2023</t>
  </si>
  <si>
    <t>date</t>
  </si>
  <si>
    <t>Bldg 7</t>
  </si>
  <si>
    <t>CA SM.</t>
  </si>
  <si>
    <t>Bldg 4</t>
  </si>
  <si>
    <t>SBI (SARB Churchgate)</t>
  </si>
  <si>
    <t>Tapas Champaklal Mehta</t>
  </si>
  <si>
    <t>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</si>
</sst>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sz val="11"/>
      <name val="Arial Narrow"/>
      <family val="2"/>
    </font>
    <font>
      <b/>
      <sz val="1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" fontId="0" fillId="0" borderId="0" xfId="0" applyNumberFormat="1"/>
    <xf numFmtId="4" fontId="0" fillId="2" borderId="0" xfId="0" applyNumberFormat="1" applyFill="1"/>
    <xf numFmtId="4" fontId="1" fillId="2" borderId="0" xfId="0" applyNumberFormat="1" applyFont="1" applyFill="1"/>
    <xf numFmtId="3" fontId="0" fillId="0" borderId="0" xfId="0" applyNumberFormat="1"/>
    <xf numFmtId="4" fontId="1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4" fontId="4" fillId="0" borderId="0" xfId="0" applyNumberFormat="1" applyFont="1"/>
    <xf numFmtId="43" fontId="4" fillId="0" borderId="0" xfId="1" applyFont="1" applyFill="1"/>
    <xf numFmtId="1" fontId="4" fillId="0" borderId="0" xfId="0" applyNumberFormat="1" applyFont="1"/>
    <xf numFmtId="0" fontId="4" fillId="2" borderId="0" xfId="0" applyFont="1" applyFill="1"/>
    <xf numFmtId="43" fontId="4" fillId="0" borderId="0" xfId="1" applyFont="1"/>
    <xf numFmtId="0" fontId="16" fillId="0" borderId="0" xfId="0" applyFont="1"/>
    <xf numFmtId="43" fontId="6" fillId="0" borderId="0" xfId="1" applyFont="1" applyFill="1" applyAlignment="1"/>
    <xf numFmtId="43" fontId="4" fillId="0" borderId="8" xfId="1" applyFont="1" applyFill="1" applyBorder="1"/>
    <xf numFmtId="4" fontId="4" fillId="2" borderId="0" xfId="0" applyNumberFormat="1" applyFont="1" applyFill="1"/>
    <xf numFmtId="43" fontId="4" fillId="2" borderId="0" xfId="1" applyFont="1" applyFill="1"/>
    <xf numFmtId="1" fontId="4" fillId="2" borderId="0" xfId="0" applyNumberFormat="1" applyFont="1" applyFill="1"/>
    <xf numFmtId="43" fontId="17" fillId="0" borderId="8" xfId="1" applyFont="1" applyFill="1" applyBorder="1"/>
    <xf numFmtId="2" fontId="4" fillId="0" borderId="0" xfId="0" applyNumberFormat="1" applyFont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164" fontId="0" fillId="0" borderId="7" xfId="0" applyNumberFormat="1" applyBorder="1"/>
    <xf numFmtId="43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272561</xdr:colOff>
      <xdr:row>7</xdr:row>
      <xdr:rowOff>0</xdr:rowOff>
    </xdr:from>
    <xdr:to>
      <xdr:col>16</xdr:col>
      <xdr:colOff>600581</xdr:colOff>
      <xdr:row>22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95FE74-F663-4A28-99DD-169C282DF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8161" y="1571625"/>
          <a:ext cx="8900520" cy="3228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14</xdr:col>
      <xdr:colOff>286981</xdr:colOff>
      <xdr:row>53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5B57E-B9C8-B982-2C7B-DD8612894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8821381" cy="8507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362936</xdr:colOff>
      <xdr:row>42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670C47-0C96-5937-B43C-017506B39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68536" cy="7944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11</xdr:col>
      <xdr:colOff>401042</xdr:colOff>
      <xdr:row>87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34017A-8596-3895-9C01-F6991D2B2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7106642" cy="8268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14</xdr:col>
      <xdr:colOff>248876</xdr:colOff>
      <xdr:row>134</xdr:row>
      <xdr:rowOff>67881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F058FC-C4C5-3DBF-E381-5E1D790E6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954500"/>
          <a:ext cx="8783276" cy="864038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137</xdr:row>
      <xdr:rowOff>104775</xdr:rowOff>
    </xdr:from>
    <xdr:to>
      <xdr:col>11</xdr:col>
      <xdr:colOff>181927</xdr:colOff>
      <xdr:row>179</xdr:row>
      <xdr:rowOff>86839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EE3A8B-750B-1E9A-1EBD-469B2113D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" y="26203275"/>
          <a:ext cx="6820852" cy="7983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11</xdr:col>
      <xdr:colOff>362936</xdr:colOff>
      <xdr:row>225</xdr:row>
      <xdr:rowOff>39275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9744FEE-6A0A-57A4-836E-564D03010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480500"/>
          <a:ext cx="7068536" cy="842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14</xdr:col>
      <xdr:colOff>163139</xdr:colOff>
      <xdr:row>273</xdr:row>
      <xdr:rowOff>29775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BF89699-4469-21AB-AA69-E8DF2B360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434000"/>
          <a:ext cx="8697539" cy="8602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14</xdr:col>
      <xdr:colOff>239349</xdr:colOff>
      <xdr:row>319</xdr:row>
      <xdr:rowOff>20223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6F926E1-56B7-4C46-71EF-7AE33AE1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387500"/>
          <a:ext cx="8773749" cy="840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14</xdr:col>
      <xdr:colOff>10718</xdr:colOff>
      <xdr:row>365</xdr:row>
      <xdr:rowOff>182170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C56922-8DCB-D2CE-5228-DC644C18E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1150500"/>
          <a:ext cx="8545118" cy="8564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11</xdr:col>
      <xdr:colOff>372463</xdr:colOff>
      <xdr:row>409</xdr:row>
      <xdr:rowOff>67774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BB39593-2943-37AA-5580-3F2792BAC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0104000"/>
          <a:ext cx="7078063" cy="7878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14</xdr:col>
      <xdr:colOff>258402</xdr:colOff>
      <xdr:row>453</xdr:row>
      <xdr:rowOff>144012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9345B84-E567-2B13-9C6B-945ACABD4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8295500"/>
          <a:ext cx="8792802" cy="8145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14</xdr:col>
      <xdr:colOff>277455</xdr:colOff>
      <xdr:row>496</xdr:row>
      <xdr:rowOff>163011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DDB77C6-0E4E-04EE-970D-3DEDC782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6868000"/>
          <a:ext cx="8811855" cy="7783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11</xdr:col>
      <xdr:colOff>353410</xdr:colOff>
      <xdr:row>537</xdr:row>
      <xdr:rowOff>67721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FBD8523-FC87-CA6B-1F68-5A461D4AF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4869000"/>
          <a:ext cx="7059010" cy="7497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11</xdr:col>
      <xdr:colOff>248620</xdr:colOff>
      <xdr:row>576</xdr:row>
      <xdr:rowOff>58115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EDA6CCA-0C0B-19ED-2494-BFF42600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02870000"/>
          <a:ext cx="6954220" cy="6916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11</xdr:col>
      <xdr:colOff>229568</xdr:colOff>
      <xdr:row>620</xdr:row>
      <xdr:rowOff>172591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CBEBAA8-3510-479B-AC20-A98EC3A84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0109000"/>
          <a:ext cx="6935168" cy="8173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515188</xdr:colOff>
      <xdr:row>27</xdr:row>
      <xdr:rowOff>10218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A3D58B-1C78-3303-2F28-2BEC83CD0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001588" cy="4963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11</xdr:col>
      <xdr:colOff>372463</xdr:colOff>
      <xdr:row>67</xdr:row>
      <xdr:rowOff>124879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10434E-201E-D018-D662-CD34DBF48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334000"/>
          <a:ext cx="7078063" cy="7554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14</xdr:col>
      <xdr:colOff>382244</xdr:colOff>
      <xdr:row>109</xdr:row>
      <xdr:rowOff>39169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46933E-8B11-2435-CF37-CA4C51D69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144500"/>
          <a:ext cx="8916644" cy="7659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16</xdr:col>
      <xdr:colOff>458625</xdr:colOff>
      <xdr:row>137</xdr:row>
      <xdr:rowOff>29297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843F61-1B65-6672-5AFA-90B545AC5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955000"/>
          <a:ext cx="10212225" cy="51727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17</xdr:col>
      <xdr:colOff>525395</xdr:colOff>
      <xdr:row>183</xdr:row>
      <xdr:rowOff>86880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778FCDD-4BD3-2A16-C4E8-9C984D707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670000"/>
          <a:ext cx="10888595" cy="8278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10" sqref="C1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9"/>
      <c r="H1" s="39"/>
    </row>
    <row r="2" spans="2:17" ht="15.75" thickBot="1" x14ac:dyDescent="0.3">
      <c r="D2">
        <f>139830*0.1</f>
        <v>13983</v>
      </c>
      <c r="E2" s="34">
        <f>C3+D2</f>
        <v>250193</v>
      </c>
      <c r="G2" s="123" t="s">
        <v>41</v>
      </c>
      <c r="H2" s="124"/>
    </row>
    <row r="3" spans="2:17" ht="15.75" thickBot="1" x14ac:dyDescent="0.3">
      <c r="B3" s="26" t="s">
        <v>32</v>
      </c>
      <c r="C3" s="28">
        <v>236210</v>
      </c>
      <c r="D3" s="26"/>
      <c r="E3" s="26"/>
      <c r="F3" s="26"/>
      <c r="G3" s="40" t="s">
        <v>42</v>
      </c>
      <c r="H3" s="41" t="s">
        <v>43</v>
      </c>
      <c r="I3" s="42"/>
      <c r="K3" s="43" t="s">
        <v>44</v>
      </c>
      <c r="L3" s="44"/>
      <c r="N3" s="45" t="s">
        <v>45</v>
      </c>
      <c r="O3" s="46"/>
      <c r="P3" s="46"/>
      <c r="Q3" s="47"/>
    </row>
    <row r="4" spans="2:17" ht="27" thickBot="1" x14ac:dyDescent="0.3">
      <c r="B4" s="26" t="s">
        <v>33</v>
      </c>
      <c r="C4" s="28">
        <v>0</v>
      </c>
      <c r="D4" s="26"/>
      <c r="E4" s="26"/>
      <c r="F4" s="26"/>
      <c r="G4" s="48">
        <v>1</v>
      </c>
      <c r="H4" s="49">
        <v>0</v>
      </c>
      <c r="I4" s="50">
        <v>100</v>
      </c>
      <c r="K4" s="51" t="s">
        <v>23</v>
      </c>
      <c r="L4" s="52" t="s">
        <v>24</v>
      </c>
      <c r="N4" s="40" t="s">
        <v>42</v>
      </c>
      <c r="O4" s="53" t="s">
        <v>43</v>
      </c>
      <c r="P4" s="54"/>
    </row>
    <row r="5" spans="2:17" ht="15.75" thickBot="1" x14ac:dyDescent="0.3">
      <c r="B5" s="26" t="s">
        <v>46</v>
      </c>
      <c r="C5" s="29">
        <f>C3+C4</f>
        <v>236210</v>
      </c>
      <c r="D5" s="30" t="s">
        <v>34</v>
      </c>
      <c r="E5" s="31">
        <f>ROUND(C5/10.764,0)</f>
        <v>21944</v>
      </c>
      <c r="F5" s="30" t="s">
        <v>35</v>
      </c>
      <c r="G5" s="48">
        <v>2</v>
      </c>
      <c r="H5" s="49">
        <v>0</v>
      </c>
      <c r="I5" s="50">
        <v>100</v>
      </c>
      <c r="K5" s="50">
        <v>2554.8123374210331</v>
      </c>
      <c r="L5" s="55">
        <v>2248.2348569305091</v>
      </c>
      <c r="N5" s="48">
        <v>1</v>
      </c>
      <c r="O5" s="56">
        <v>0</v>
      </c>
      <c r="P5" s="50">
        <v>100</v>
      </c>
    </row>
    <row r="6" spans="2:17" ht="15.75" thickBot="1" x14ac:dyDescent="0.3">
      <c r="B6" s="26" t="s">
        <v>47</v>
      </c>
      <c r="C6" s="28">
        <v>125720</v>
      </c>
      <c r="D6" s="26"/>
      <c r="E6" s="26"/>
      <c r="F6" s="26"/>
      <c r="G6" s="48">
        <v>3</v>
      </c>
      <c r="H6" s="49">
        <v>5</v>
      </c>
      <c r="I6" s="50">
        <v>95</v>
      </c>
      <c r="K6" s="57" t="s">
        <v>2</v>
      </c>
      <c r="L6" s="58" t="s">
        <v>25</v>
      </c>
      <c r="N6" s="48">
        <v>2</v>
      </c>
      <c r="O6" s="56">
        <v>0</v>
      </c>
      <c r="P6" s="50">
        <v>100</v>
      </c>
    </row>
    <row r="7" spans="2:17" ht="15.75" thickBot="1" x14ac:dyDescent="0.3">
      <c r="B7" s="26" t="s">
        <v>48</v>
      </c>
      <c r="C7" s="29">
        <f>C5-C6</f>
        <v>110490</v>
      </c>
      <c r="D7" s="26"/>
      <c r="E7" s="26"/>
      <c r="F7" s="26"/>
      <c r="G7" s="48">
        <v>4</v>
      </c>
      <c r="H7" s="49">
        <v>5</v>
      </c>
      <c r="I7" s="50">
        <v>95</v>
      </c>
      <c r="K7" s="50" t="s">
        <v>27</v>
      </c>
      <c r="L7" s="55" t="s">
        <v>28</v>
      </c>
      <c r="N7" s="48">
        <v>3</v>
      </c>
      <c r="O7" s="56">
        <v>5</v>
      </c>
      <c r="P7" s="50">
        <v>95</v>
      </c>
    </row>
    <row r="8" spans="2:17" ht="15.75" thickBot="1" x14ac:dyDescent="0.3">
      <c r="B8" s="26" t="s">
        <v>49</v>
      </c>
      <c r="C8" s="59">
        <v>0.05</v>
      </c>
      <c r="D8" s="60">
        <f>1-C8</f>
        <v>0.95</v>
      </c>
      <c r="E8" s="26"/>
      <c r="F8" s="26"/>
      <c r="G8" s="48">
        <v>5</v>
      </c>
      <c r="H8" s="49">
        <v>5</v>
      </c>
      <c r="I8" s="50">
        <v>95</v>
      </c>
      <c r="K8" s="50"/>
      <c r="L8" s="55"/>
      <c r="N8" s="48">
        <v>4</v>
      </c>
      <c r="O8" s="56">
        <v>5</v>
      </c>
      <c r="P8" s="50">
        <v>95</v>
      </c>
    </row>
    <row r="9" spans="2:17" ht="15.75" thickBot="1" x14ac:dyDescent="0.3">
      <c r="B9" s="32" t="s">
        <v>50</v>
      </c>
      <c r="D9" s="29">
        <f>ROUND(C7*D8,0)</f>
        <v>104966</v>
      </c>
      <c r="E9" s="26"/>
      <c r="F9" s="26"/>
      <c r="G9" s="48">
        <v>6</v>
      </c>
      <c r="H9" s="49">
        <v>6</v>
      </c>
      <c r="I9" s="50">
        <v>94</v>
      </c>
      <c r="K9" s="61" t="s">
        <v>26</v>
      </c>
      <c r="L9" s="62">
        <v>0.05</v>
      </c>
      <c r="N9" s="48">
        <v>5</v>
      </c>
      <c r="O9" s="56">
        <v>5</v>
      </c>
      <c r="P9" s="50">
        <v>95</v>
      </c>
    </row>
    <row r="10" spans="2:17" ht="15.75" thickBot="1" x14ac:dyDescent="0.3">
      <c r="B10" s="26" t="s">
        <v>51</v>
      </c>
      <c r="C10" s="29">
        <f>C6+D9</f>
        <v>230686</v>
      </c>
      <c r="D10" s="30" t="s">
        <v>34</v>
      </c>
      <c r="E10" s="31">
        <f>ROUND(C10/10.764,0)</f>
        <v>21431</v>
      </c>
      <c r="F10" s="30" t="s">
        <v>35</v>
      </c>
      <c r="G10" s="48">
        <v>7</v>
      </c>
      <c r="H10" s="49">
        <v>7</v>
      </c>
      <c r="I10" s="50">
        <v>93</v>
      </c>
      <c r="K10" s="63" t="s">
        <v>29</v>
      </c>
      <c r="L10" s="62">
        <v>0.1</v>
      </c>
      <c r="N10" s="48">
        <v>6</v>
      </c>
      <c r="O10" s="56">
        <v>6.5</v>
      </c>
      <c r="P10" s="50">
        <f t="shared" ref="P10:P63" si="0">P9-1.5</f>
        <v>93.5</v>
      </c>
    </row>
    <row r="11" spans="2:17" ht="15.75" thickBot="1" x14ac:dyDescent="0.3">
      <c r="C11" s="33"/>
      <c r="G11" s="48">
        <v>8</v>
      </c>
      <c r="H11" s="49">
        <v>8</v>
      </c>
      <c r="I11" s="50">
        <v>92</v>
      </c>
      <c r="K11" s="50" t="s">
        <v>30</v>
      </c>
      <c r="L11" s="62">
        <v>0.15</v>
      </c>
      <c r="N11" s="48">
        <v>7</v>
      </c>
      <c r="O11" s="56">
        <v>8</v>
      </c>
      <c r="P11" s="50">
        <f t="shared" si="0"/>
        <v>92</v>
      </c>
    </row>
    <row r="12" spans="2:17" ht="15.75" thickBot="1" x14ac:dyDescent="0.3">
      <c r="B12" s="27" t="s">
        <v>36</v>
      </c>
      <c r="C12" s="35">
        <v>2024</v>
      </c>
      <c r="E12" s="34"/>
      <c r="G12" s="48">
        <v>9</v>
      </c>
      <c r="H12" s="49">
        <v>9</v>
      </c>
      <c r="I12" s="50">
        <v>91</v>
      </c>
      <c r="K12" s="64" t="s">
        <v>31</v>
      </c>
      <c r="L12" s="65">
        <v>0.2</v>
      </c>
      <c r="N12" s="48">
        <v>8</v>
      </c>
      <c r="O12" s="56">
        <v>9.5</v>
      </c>
      <c r="P12" s="50">
        <f t="shared" si="0"/>
        <v>90.5</v>
      </c>
    </row>
    <row r="13" spans="2:17" ht="15.75" thickBot="1" x14ac:dyDescent="0.3">
      <c r="B13" s="27" t="s">
        <v>37</v>
      </c>
      <c r="C13" s="35">
        <v>2019</v>
      </c>
      <c r="D13" s="34"/>
      <c r="G13" s="48">
        <v>10</v>
      </c>
      <c r="H13" s="49">
        <v>10</v>
      </c>
      <c r="I13" s="50">
        <v>90</v>
      </c>
      <c r="K13" s="66"/>
      <c r="L13" s="67"/>
      <c r="N13" s="48">
        <v>9</v>
      </c>
      <c r="O13" s="56">
        <v>11</v>
      </c>
      <c r="P13" s="50">
        <f t="shared" si="0"/>
        <v>89</v>
      </c>
    </row>
    <row r="14" spans="2:17" ht="15.75" thickBot="1" x14ac:dyDescent="0.3">
      <c r="B14" s="27" t="s">
        <v>38</v>
      </c>
      <c r="C14" s="35">
        <f>C12-C13</f>
        <v>5</v>
      </c>
      <c r="G14" s="48">
        <v>11</v>
      </c>
      <c r="H14" s="49">
        <v>11</v>
      </c>
      <c r="I14" s="50">
        <v>89</v>
      </c>
      <c r="K14" s="68"/>
      <c r="L14" s="69"/>
      <c r="N14" s="48">
        <v>10</v>
      </c>
      <c r="O14" s="56">
        <v>12.5</v>
      </c>
      <c r="P14" s="50">
        <f t="shared" si="0"/>
        <v>87.5</v>
      </c>
    </row>
    <row r="15" spans="2:17" ht="17.25" thickBot="1" x14ac:dyDescent="0.35">
      <c r="B15" s="70" t="s">
        <v>52</v>
      </c>
      <c r="C15" s="27">
        <f>60-C14</f>
        <v>55</v>
      </c>
      <c r="G15" s="48">
        <v>12</v>
      </c>
      <c r="H15" s="49">
        <v>12</v>
      </c>
      <c r="I15" s="50">
        <v>88</v>
      </c>
      <c r="N15" s="48">
        <v>11</v>
      </c>
      <c r="O15" s="56">
        <v>14</v>
      </c>
      <c r="P15" s="50">
        <f t="shared" si="0"/>
        <v>86</v>
      </c>
    </row>
    <row r="16" spans="2:17" ht="15.75" thickBot="1" x14ac:dyDescent="0.3">
      <c r="E16" s="34"/>
      <c r="G16" s="48">
        <v>13</v>
      </c>
      <c r="H16" s="49">
        <v>13</v>
      </c>
      <c r="I16" s="50">
        <v>87</v>
      </c>
      <c r="J16" s="34"/>
      <c r="N16" s="48">
        <v>12</v>
      </c>
      <c r="O16" s="56">
        <v>15.5</v>
      </c>
      <c r="P16" s="50">
        <f t="shared" si="0"/>
        <v>84.5</v>
      </c>
    </row>
    <row r="17" spans="1:16" ht="15.75" thickBot="1" x14ac:dyDescent="0.3">
      <c r="C17" s="34"/>
      <c r="G17" s="48">
        <v>14</v>
      </c>
      <c r="H17" s="49">
        <v>14</v>
      </c>
      <c r="I17" s="50">
        <v>86</v>
      </c>
      <c r="K17" s="34"/>
      <c r="L17" s="34"/>
      <c r="N17" s="48">
        <v>13</v>
      </c>
      <c r="O17" s="56">
        <v>17</v>
      </c>
      <c r="P17" s="50">
        <f t="shared" si="0"/>
        <v>83</v>
      </c>
    </row>
    <row r="18" spans="1:16" ht="15.75" thickBot="1" x14ac:dyDescent="0.3">
      <c r="G18" s="48">
        <v>15</v>
      </c>
      <c r="H18" s="49">
        <v>15</v>
      </c>
      <c r="I18" s="50">
        <v>85</v>
      </c>
      <c r="J18" s="34"/>
      <c r="L18" s="34"/>
      <c r="N18" s="48">
        <v>14</v>
      </c>
      <c r="O18" s="56">
        <v>18.5</v>
      </c>
      <c r="P18" s="50">
        <f t="shared" si="0"/>
        <v>81.5</v>
      </c>
    </row>
    <row r="19" spans="1:16" ht="15.75" thickBot="1" x14ac:dyDescent="0.3">
      <c r="B19" s="26"/>
      <c r="C19" s="28"/>
      <c r="D19" s="26"/>
      <c r="E19" s="26"/>
      <c r="F19" s="26"/>
      <c r="G19" s="48">
        <v>16</v>
      </c>
      <c r="H19" s="49">
        <v>16</v>
      </c>
      <c r="I19" s="50">
        <v>84</v>
      </c>
      <c r="N19" s="48">
        <v>15</v>
      </c>
      <c r="O19" s="56">
        <v>20</v>
      </c>
      <c r="P19" s="50">
        <f t="shared" si="0"/>
        <v>80</v>
      </c>
    </row>
    <row r="20" spans="1:16" ht="15.75" thickBot="1" x14ac:dyDescent="0.3">
      <c r="B20" s="26"/>
      <c r="C20" s="28"/>
      <c r="D20" s="26"/>
      <c r="E20" s="26"/>
      <c r="F20" s="26"/>
      <c r="G20" s="48">
        <v>17</v>
      </c>
      <c r="H20" s="49">
        <v>17</v>
      </c>
      <c r="I20" s="50">
        <v>83</v>
      </c>
      <c r="N20" s="48">
        <v>16</v>
      </c>
      <c r="O20" s="56">
        <v>21.5</v>
      </c>
      <c r="P20" s="50">
        <f t="shared" si="0"/>
        <v>78.5</v>
      </c>
    </row>
    <row r="21" spans="1:16" ht="15.75" thickBot="1" x14ac:dyDescent="0.3">
      <c r="B21" s="26"/>
      <c r="C21" s="29"/>
      <c r="D21" s="30"/>
      <c r="E21" s="31"/>
      <c r="F21" s="30"/>
      <c r="G21" s="48">
        <v>18</v>
      </c>
      <c r="H21" s="49">
        <v>18</v>
      </c>
      <c r="I21" s="50">
        <v>82</v>
      </c>
      <c r="N21" s="48">
        <v>17</v>
      </c>
      <c r="O21" s="56">
        <v>23</v>
      </c>
      <c r="P21" s="50">
        <f t="shared" si="0"/>
        <v>77</v>
      </c>
    </row>
    <row r="22" spans="1:16" ht="15.75" thickBot="1" x14ac:dyDescent="0.3">
      <c r="B22" s="26"/>
      <c r="C22" s="28"/>
      <c r="D22" s="26"/>
      <c r="E22" s="26"/>
      <c r="F22" s="26"/>
      <c r="G22" s="48">
        <v>19</v>
      </c>
      <c r="H22" s="49">
        <v>19</v>
      </c>
      <c r="I22" s="50">
        <v>81</v>
      </c>
      <c r="N22" s="48">
        <v>18</v>
      </c>
      <c r="O22" s="56">
        <v>24.5</v>
      </c>
      <c r="P22" s="50">
        <f t="shared" si="0"/>
        <v>75.5</v>
      </c>
    </row>
    <row r="23" spans="1:16" ht="15.75" thickBot="1" x14ac:dyDescent="0.3">
      <c r="B23" s="26"/>
      <c r="C23" s="28"/>
      <c r="D23" s="26"/>
      <c r="E23" s="26"/>
      <c r="F23" s="26"/>
      <c r="G23" s="48">
        <v>20</v>
      </c>
      <c r="H23" s="49">
        <v>20</v>
      </c>
      <c r="I23" s="50">
        <v>80</v>
      </c>
      <c r="N23" s="48">
        <v>19</v>
      </c>
      <c r="O23" s="56">
        <v>26</v>
      </c>
      <c r="P23" s="50">
        <f t="shared" si="0"/>
        <v>74</v>
      </c>
    </row>
    <row r="24" spans="1:16" ht="15.75" thickBot="1" x14ac:dyDescent="0.3">
      <c r="B24" s="32"/>
      <c r="C24" s="28"/>
      <c r="D24" s="26"/>
      <c r="E24" s="26"/>
      <c r="F24" s="26"/>
      <c r="G24" s="48">
        <v>21</v>
      </c>
      <c r="H24" s="49">
        <v>21</v>
      </c>
      <c r="I24" s="50">
        <v>79</v>
      </c>
      <c r="N24" s="48">
        <v>20</v>
      </c>
      <c r="O24" s="56">
        <v>27.5</v>
      </c>
      <c r="P24" s="50">
        <f t="shared" si="0"/>
        <v>72.5</v>
      </c>
    </row>
    <row r="25" spans="1:16" ht="15.75" thickBot="1" x14ac:dyDescent="0.3">
      <c r="B25" s="26"/>
      <c r="C25" s="29"/>
      <c r="D25" s="30"/>
      <c r="E25" s="31"/>
      <c r="F25" s="30"/>
      <c r="G25" s="48">
        <v>22</v>
      </c>
      <c r="H25" s="49">
        <v>22</v>
      </c>
      <c r="I25" s="50">
        <v>78</v>
      </c>
      <c r="N25" s="48">
        <v>21</v>
      </c>
      <c r="O25" s="56">
        <v>29</v>
      </c>
      <c r="P25" s="50">
        <f t="shared" si="0"/>
        <v>71</v>
      </c>
    </row>
    <row r="26" spans="1:16" ht="15.75" thickBot="1" x14ac:dyDescent="0.3">
      <c r="G26" s="48">
        <v>23</v>
      </c>
      <c r="H26" s="49">
        <v>23</v>
      </c>
      <c r="I26" s="50">
        <v>77</v>
      </c>
      <c r="N26" s="48">
        <v>22</v>
      </c>
      <c r="O26" s="56">
        <v>30.5</v>
      </c>
      <c r="P26" s="50">
        <f t="shared" si="0"/>
        <v>69.5</v>
      </c>
    </row>
    <row r="27" spans="1:16" ht="15.75" thickBot="1" x14ac:dyDescent="0.3">
      <c r="G27" s="48">
        <v>24</v>
      </c>
      <c r="H27" s="49">
        <v>24</v>
      </c>
      <c r="I27" s="50">
        <v>76</v>
      </c>
      <c r="N27" s="48">
        <v>23</v>
      </c>
      <c r="O27" s="56">
        <v>32</v>
      </c>
      <c r="P27" s="50">
        <f t="shared" si="0"/>
        <v>68</v>
      </c>
    </row>
    <row r="28" spans="1:16" ht="15.75" thickBot="1" x14ac:dyDescent="0.3">
      <c r="G28" s="48">
        <v>25</v>
      </c>
      <c r="H28" s="49">
        <v>25</v>
      </c>
      <c r="I28" s="50">
        <v>75</v>
      </c>
      <c r="N28" s="48">
        <v>24</v>
      </c>
      <c r="O28" s="56">
        <v>33.5</v>
      </c>
      <c r="P28" s="50">
        <f t="shared" si="0"/>
        <v>66.5</v>
      </c>
    </row>
    <row r="29" spans="1:16" ht="15.75" thickBot="1" x14ac:dyDescent="0.3">
      <c r="G29" s="48">
        <v>26</v>
      </c>
      <c r="H29" s="49">
        <v>26</v>
      </c>
      <c r="I29" s="50">
        <v>74</v>
      </c>
      <c r="N29" s="48">
        <v>25</v>
      </c>
      <c r="O29" s="56">
        <v>35</v>
      </c>
      <c r="P29" s="50">
        <f t="shared" si="0"/>
        <v>65</v>
      </c>
    </row>
    <row r="30" spans="1:16" ht="15.75" thickBot="1" x14ac:dyDescent="0.3">
      <c r="G30" s="48">
        <v>27</v>
      </c>
      <c r="H30" s="49">
        <v>27</v>
      </c>
      <c r="I30" s="50">
        <v>73</v>
      </c>
      <c r="N30" s="48">
        <v>26</v>
      </c>
      <c r="O30" s="56">
        <v>36.5</v>
      </c>
      <c r="P30" s="50">
        <f t="shared" si="0"/>
        <v>63.5</v>
      </c>
    </row>
    <row r="31" spans="1:16" ht="15.75" thickBot="1" x14ac:dyDescent="0.3">
      <c r="A31" s="26"/>
      <c r="B31" s="37"/>
      <c r="C31" s="26"/>
      <c r="D31" s="26"/>
      <c r="E31" s="26"/>
      <c r="G31" s="48">
        <v>28</v>
      </c>
      <c r="H31" s="49">
        <v>28</v>
      </c>
      <c r="I31" s="50">
        <v>72</v>
      </c>
      <c r="N31" s="48">
        <v>27</v>
      </c>
      <c r="O31" s="56">
        <v>38</v>
      </c>
      <c r="P31" s="50">
        <f t="shared" si="0"/>
        <v>62</v>
      </c>
    </row>
    <row r="32" spans="1:16" ht="15.75" thickBot="1" x14ac:dyDescent="0.3">
      <c r="A32" s="26"/>
      <c r="B32" s="28"/>
      <c r="C32" s="26"/>
      <c r="D32" s="26"/>
      <c r="E32" s="26"/>
      <c r="G32" s="48">
        <v>29</v>
      </c>
      <c r="H32" s="49">
        <v>29</v>
      </c>
      <c r="I32" s="50">
        <v>71</v>
      </c>
      <c r="N32" s="48">
        <v>28</v>
      </c>
      <c r="O32" s="56">
        <v>39.5</v>
      </c>
      <c r="P32" s="50">
        <f t="shared" si="0"/>
        <v>60.5</v>
      </c>
    </row>
    <row r="33" spans="1:16" ht="15.75" thickBot="1" x14ac:dyDescent="0.3">
      <c r="A33" s="26"/>
      <c r="B33" s="29"/>
      <c r="C33" s="30"/>
      <c r="D33" s="71"/>
      <c r="E33" s="30"/>
      <c r="G33" s="48">
        <v>30</v>
      </c>
      <c r="H33" s="49">
        <v>30</v>
      </c>
      <c r="I33" s="50">
        <v>70</v>
      </c>
      <c r="N33" s="48">
        <v>29</v>
      </c>
      <c r="O33" s="56">
        <v>41</v>
      </c>
      <c r="P33" s="50">
        <f t="shared" si="0"/>
        <v>59</v>
      </c>
    </row>
    <row r="34" spans="1:16" ht="15.75" thickBot="1" x14ac:dyDescent="0.3">
      <c r="A34" s="26"/>
      <c r="B34" s="28"/>
      <c r="C34" s="26"/>
      <c r="D34" s="26"/>
      <c r="E34" s="26"/>
      <c r="G34" s="48">
        <v>31</v>
      </c>
      <c r="H34" s="49">
        <v>31</v>
      </c>
      <c r="I34" s="50">
        <v>69</v>
      </c>
      <c r="N34" s="48">
        <v>30</v>
      </c>
      <c r="O34" s="56">
        <v>42.5</v>
      </c>
      <c r="P34" s="50">
        <f t="shared" si="0"/>
        <v>57.5</v>
      </c>
    </row>
    <row r="35" spans="1:16" ht="15.75" thickBot="1" x14ac:dyDescent="0.3">
      <c r="A35" s="26"/>
      <c r="B35" s="37"/>
      <c r="C35" s="26"/>
      <c r="D35" s="26"/>
      <c r="E35" s="26"/>
      <c r="G35" s="48">
        <v>32</v>
      </c>
      <c r="H35" s="49">
        <v>32</v>
      </c>
      <c r="I35" s="50">
        <v>68</v>
      </c>
      <c r="N35" s="48">
        <v>31</v>
      </c>
      <c r="O35" s="56">
        <v>44</v>
      </c>
      <c r="P35" s="50">
        <f t="shared" si="0"/>
        <v>56</v>
      </c>
    </row>
    <row r="36" spans="1:16" ht="15.75" thickBot="1" x14ac:dyDescent="0.3">
      <c r="A36" s="32"/>
      <c r="B36" s="28"/>
      <c r="C36" s="26"/>
      <c r="D36" s="26"/>
      <c r="E36" s="26"/>
      <c r="G36" s="48">
        <v>33</v>
      </c>
      <c r="H36" s="49">
        <v>33</v>
      </c>
      <c r="I36" s="50">
        <v>67</v>
      </c>
      <c r="N36" s="48">
        <v>32</v>
      </c>
      <c r="O36" s="56">
        <v>45.5</v>
      </c>
      <c r="P36" s="50">
        <f t="shared" si="0"/>
        <v>54.5</v>
      </c>
    </row>
    <row r="37" spans="1:16" ht="15.75" thickBot="1" x14ac:dyDescent="0.3">
      <c r="A37" s="26"/>
      <c r="B37" s="29"/>
      <c r="C37" s="30"/>
      <c r="D37" s="31"/>
      <c r="E37" s="30"/>
      <c r="G37" s="48">
        <v>34</v>
      </c>
      <c r="H37" s="49">
        <v>34</v>
      </c>
      <c r="I37" s="50">
        <v>66</v>
      </c>
      <c r="N37" s="48">
        <v>33</v>
      </c>
      <c r="O37" s="56">
        <v>47</v>
      </c>
      <c r="P37" s="50">
        <f t="shared" si="0"/>
        <v>53</v>
      </c>
    </row>
    <row r="38" spans="1:16" ht="15.75" thickBot="1" x14ac:dyDescent="0.3">
      <c r="G38" s="48">
        <v>35</v>
      </c>
      <c r="H38" s="49">
        <v>35</v>
      </c>
      <c r="I38" s="50">
        <v>65</v>
      </c>
      <c r="N38" s="48">
        <v>34</v>
      </c>
      <c r="O38" s="56">
        <v>48.5</v>
      </c>
      <c r="P38" s="50">
        <f t="shared" si="0"/>
        <v>51.5</v>
      </c>
    </row>
    <row r="39" spans="1:16" ht="15.75" thickBot="1" x14ac:dyDescent="0.3">
      <c r="G39" s="48">
        <v>36</v>
      </c>
      <c r="H39" s="49">
        <v>36</v>
      </c>
      <c r="I39" s="50">
        <v>64</v>
      </c>
      <c r="N39" s="48">
        <v>35</v>
      </c>
      <c r="O39" s="56">
        <v>50</v>
      </c>
      <c r="P39" s="50">
        <f t="shared" si="0"/>
        <v>50</v>
      </c>
    </row>
    <row r="40" spans="1:16" ht="15.75" thickBot="1" x14ac:dyDescent="0.3">
      <c r="G40" s="48">
        <v>37</v>
      </c>
      <c r="H40" s="49">
        <v>37</v>
      </c>
      <c r="I40" s="50">
        <v>63</v>
      </c>
      <c r="N40" s="48">
        <v>36</v>
      </c>
      <c r="O40" s="56">
        <v>51.5</v>
      </c>
      <c r="P40" s="50">
        <f t="shared" si="0"/>
        <v>48.5</v>
      </c>
    </row>
    <row r="41" spans="1:16" ht="15.75" thickBot="1" x14ac:dyDescent="0.3">
      <c r="G41" s="48">
        <v>38</v>
      </c>
      <c r="H41" s="49">
        <v>38</v>
      </c>
      <c r="I41" s="50">
        <v>62</v>
      </c>
      <c r="N41" s="48">
        <v>37</v>
      </c>
      <c r="O41" s="56">
        <v>53</v>
      </c>
      <c r="P41" s="50">
        <f t="shared" si="0"/>
        <v>47</v>
      </c>
    </row>
    <row r="42" spans="1:16" ht="15.75" thickBot="1" x14ac:dyDescent="0.3">
      <c r="G42" s="48">
        <v>39</v>
      </c>
      <c r="H42" s="49">
        <v>39</v>
      </c>
      <c r="I42" s="50">
        <v>61</v>
      </c>
      <c r="N42" s="48">
        <v>38</v>
      </c>
      <c r="O42" s="56">
        <v>54.5</v>
      </c>
      <c r="P42" s="50">
        <f t="shared" si="0"/>
        <v>45.5</v>
      </c>
    </row>
    <row r="43" spans="1:16" ht="15.75" thickBot="1" x14ac:dyDescent="0.3">
      <c r="G43" s="48">
        <v>40</v>
      </c>
      <c r="H43" s="49">
        <v>40</v>
      </c>
      <c r="I43" s="50">
        <v>60</v>
      </c>
      <c r="N43" s="48">
        <v>39</v>
      </c>
      <c r="O43" s="56">
        <v>56</v>
      </c>
      <c r="P43" s="50">
        <f t="shared" si="0"/>
        <v>44</v>
      </c>
    </row>
    <row r="44" spans="1:16" ht="15.75" thickBot="1" x14ac:dyDescent="0.3">
      <c r="G44" s="48">
        <v>41</v>
      </c>
      <c r="H44" s="49">
        <v>41</v>
      </c>
      <c r="I44" s="50">
        <v>59</v>
      </c>
      <c r="N44" s="48">
        <v>40</v>
      </c>
      <c r="O44" s="56">
        <v>57.5</v>
      </c>
      <c r="P44" s="50">
        <f t="shared" si="0"/>
        <v>42.5</v>
      </c>
    </row>
    <row r="45" spans="1:16" ht="15.75" thickBot="1" x14ac:dyDescent="0.3">
      <c r="G45" s="48">
        <v>42</v>
      </c>
      <c r="H45" s="49">
        <v>42</v>
      </c>
      <c r="I45" s="50">
        <v>58</v>
      </c>
      <c r="N45" s="48">
        <v>41</v>
      </c>
      <c r="O45" s="56">
        <v>59</v>
      </c>
      <c r="P45" s="50">
        <f t="shared" si="0"/>
        <v>41</v>
      </c>
    </row>
    <row r="46" spans="1:16" ht="15.75" thickBot="1" x14ac:dyDescent="0.3">
      <c r="G46" s="48">
        <v>43</v>
      </c>
      <c r="H46" s="49">
        <v>43</v>
      </c>
      <c r="I46" s="50">
        <v>57</v>
      </c>
      <c r="N46" s="48">
        <v>42</v>
      </c>
      <c r="O46" s="56">
        <v>60.5</v>
      </c>
      <c r="P46" s="50">
        <f t="shared" si="0"/>
        <v>39.5</v>
      </c>
    </row>
    <row r="47" spans="1:16" ht="15.75" thickBot="1" x14ac:dyDescent="0.3">
      <c r="G47" s="48">
        <v>44</v>
      </c>
      <c r="H47" s="49">
        <v>44</v>
      </c>
      <c r="I47" s="50">
        <v>56</v>
      </c>
      <c r="N47" s="48">
        <v>43</v>
      </c>
      <c r="O47" s="56">
        <v>62</v>
      </c>
      <c r="P47" s="50">
        <f t="shared" si="0"/>
        <v>38</v>
      </c>
    </row>
    <row r="48" spans="1:16" ht="15.75" thickBot="1" x14ac:dyDescent="0.3">
      <c r="G48" s="48">
        <v>45</v>
      </c>
      <c r="H48" s="49">
        <v>45</v>
      </c>
      <c r="I48" s="50">
        <v>55</v>
      </c>
      <c r="N48" s="48">
        <v>44</v>
      </c>
      <c r="O48" s="56">
        <v>63.5</v>
      </c>
      <c r="P48" s="50">
        <f t="shared" si="0"/>
        <v>36.5</v>
      </c>
    </row>
    <row r="49" spans="7:16" ht="15.75" thickBot="1" x14ac:dyDescent="0.3">
      <c r="G49" s="48">
        <v>46</v>
      </c>
      <c r="H49" s="49">
        <v>46</v>
      </c>
      <c r="I49" s="50">
        <v>54</v>
      </c>
      <c r="N49" s="48">
        <v>45</v>
      </c>
      <c r="O49" s="56">
        <v>65</v>
      </c>
      <c r="P49" s="50">
        <f t="shared" si="0"/>
        <v>35</v>
      </c>
    </row>
    <row r="50" spans="7:16" ht="15.75" thickBot="1" x14ac:dyDescent="0.3">
      <c r="G50" s="48">
        <v>47</v>
      </c>
      <c r="H50" s="49">
        <v>47</v>
      </c>
      <c r="I50" s="50">
        <v>53</v>
      </c>
      <c r="N50" s="48">
        <v>46</v>
      </c>
      <c r="O50" s="56">
        <v>66.5</v>
      </c>
      <c r="P50" s="50">
        <f t="shared" si="0"/>
        <v>33.5</v>
      </c>
    </row>
    <row r="51" spans="7:16" ht="15.75" thickBot="1" x14ac:dyDescent="0.3">
      <c r="G51" s="48">
        <v>48</v>
      </c>
      <c r="H51" s="49">
        <v>48</v>
      </c>
      <c r="I51" s="50">
        <v>52</v>
      </c>
      <c r="N51" s="48">
        <v>47</v>
      </c>
      <c r="O51" s="56">
        <v>68</v>
      </c>
      <c r="P51" s="50">
        <f t="shared" si="0"/>
        <v>32</v>
      </c>
    </row>
    <row r="52" spans="7:16" ht="15.75" thickBot="1" x14ac:dyDescent="0.3">
      <c r="G52" s="48">
        <v>49</v>
      </c>
      <c r="H52" s="49">
        <v>49</v>
      </c>
      <c r="I52" s="50">
        <v>51</v>
      </c>
      <c r="N52" s="48">
        <v>48</v>
      </c>
      <c r="O52" s="56">
        <v>69.5</v>
      </c>
      <c r="P52" s="50">
        <f t="shared" si="0"/>
        <v>30.5</v>
      </c>
    </row>
    <row r="53" spans="7:16" ht="15.75" thickBot="1" x14ac:dyDescent="0.3">
      <c r="G53" s="48">
        <v>50</v>
      </c>
      <c r="H53" s="49">
        <v>50</v>
      </c>
      <c r="I53" s="50">
        <v>50</v>
      </c>
      <c r="N53" s="48">
        <v>49</v>
      </c>
      <c r="O53" s="56">
        <v>71</v>
      </c>
      <c r="P53" s="50">
        <f t="shared" si="0"/>
        <v>29</v>
      </c>
    </row>
    <row r="54" spans="7:16" ht="15.75" thickBot="1" x14ac:dyDescent="0.3">
      <c r="G54" s="48">
        <v>51</v>
      </c>
      <c r="H54" s="49">
        <v>51</v>
      </c>
      <c r="I54" s="50">
        <v>49</v>
      </c>
      <c r="N54" s="48">
        <v>50</v>
      </c>
      <c r="O54" s="56">
        <v>72.5</v>
      </c>
      <c r="P54" s="50">
        <f t="shared" si="0"/>
        <v>27.5</v>
      </c>
    </row>
    <row r="55" spans="7:16" ht="15.75" thickBot="1" x14ac:dyDescent="0.3">
      <c r="G55" s="48">
        <v>52</v>
      </c>
      <c r="H55" s="49">
        <v>52</v>
      </c>
      <c r="I55" s="50">
        <v>48</v>
      </c>
      <c r="N55" s="48">
        <v>51</v>
      </c>
      <c r="O55" s="56">
        <v>74</v>
      </c>
      <c r="P55" s="50">
        <f t="shared" si="0"/>
        <v>26</v>
      </c>
    </row>
    <row r="56" spans="7:16" ht="15.75" thickBot="1" x14ac:dyDescent="0.3">
      <c r="G56" s="48">
        <v>53</v>
      </c>
      <c r="H56" s="49">
        <v>53</v>
      </c>
      <c r="I56" s="50">
        <v>47</v>
      </c>
      <c r="N56" s="48">
        <v>52</v>
      </c>
      <c r="O56" s="56">
        <v>75.5</v>
      </c>
      <c r="P56" s="50">
        <f t="shared" si="0"/>
        <v>24.5</v>
      </c>
    </row>
    <row r="57" spans="7:16" ht="15.75" thickBot="1" x14ac:dyDescent="0.3">
      <c r="G57" s="48">
        <v>54</v>
      </c>
      <c r="H57" s="49">
        <v>54</v>
      </c>
      <c r="I57" s="50">
        <v>46</v>
      </c>
      <c r="N57" s="48">
        <v>53</v>
      </c>
      <c r="O57" s="56">
        <v>77</v>
      </c>
      <c r="P57" s="50">
        <f t="shared" si="0"/>
        <v>23</v>
      </c>
    </row>
    <row r="58" spans="7:16" ht="15.75" thickBot="1" x14ac:dyDescent="0.3">
      <c r="G58" s="48">
        <v>55</v>
      </c>
      <c r="H58" s="49">
        <v>55</v>
      </c>
      <c r="I58" s="50">
        <v>45</v>
      </c>
      <c r="N58" s="48">
        <v>54</v>
      </c>
      <c r="O58" s="56">
        <v>78.5</v>
      </c>
      <c r="P58" s="50">
        <f t="shared" si="0"/>
        <v>21.5</v>
      </c>
    </row>
    <row r="59" spans="7:16" ht="15.75" thickBot="1" x14ac:dyDescent="0.3">
      <c r="G59" s="48">
        <v>56</v>
      </c>
      <c r="H59" s="49">
        <v>56</v>
      </c>
      <c r="I59" s="50">
        <v>44</v>
      </c>
      <c r="N59" s="48">
        <v>55</v>
      </c>
      <c r="O59" s="56">
        <v>80</v>
      </c>
      <c r="P59" s="50">
        <f t="shared" si="0"/>
        <v>20</v>
      </c>
    </row>
    <row r="60" spans="7:16" ht="15.75" thickBot="1" x14ac:dyDescent="0.3">
      <c r="G60" s="48">
        <v>57</v>
      </c>
      <c r="H60" s="49">
        <v>57</v>
      </c>
      <c r="I60" s="50">
        <v>43</v>
      </c>
      <c r="N60" s="48">
        <v>56</v>
      </c>
      <c r="O60" s="56">
        <v>81.5</v>
      </c>
      <c r="P60" s="50">
        <f t="shared" si="0"/>
        <v>18.5</v>
      </c>
    </row>
    <row r="61" spans="7:16" ht="15.75" thickBot="1" x14ac:dyDescent="0.3">
      <c r="G61" s="48">
        <v>58</v>
      </c>
      <c r="H61" s="49">
        <v>58</v>
      </c>
      <c r="I61" s="50">
        <v>42</v>
      </c>
      <c r="N61" s="48">
        <v>57</v>
      </c>
      <c r="O61" s="56">
        <v>83</v>
      </c>
      <c r="P61" s="50">
        <f t="shared" si="0"/>
        <v>17</v>
      </c>
    </row>
    <row r="62" spans="7:16" ht="15.75" thickBot="1" x14ac:dyDescent="0.3">
      <c r="G62" s="48">
        <v>59</v>
      </c>
      <c r="H62" s="49">
        <v>59</v>
      </c>
      <c r="I62" s="50">
        <v>41</v>
      </c>
      <c r="N62" s="48">
        <v>58</v>
      </c>
      <c r="O62" s="56">
        <v>84.5</v>
      </c>
      <c r="P62" s="50">
        <f t="shared" si="0"/>
        <v>15.5</v>
      </c>
    </row>
    <row r="63" spans="7:16" ht="15.75" thickBot="1" x14ac:dyDescent="0.3">
      <c r="G63" s="48">
        <v>60</v>
      </c>
      <c r="H63" s="49">
        <v>60</v>
      </c>
      <c r="I63" s="50">
        <v>40</v>
      </c>
      <c r="N63" s="48">
        <v>59</v>
      </c>
      <c r="O63" s="56">
        <v>85</v>
      </c>
      <c r="P63" s="64">
        <f t="shared" si="0"/>
        <v>14</v>
      </c>
    </row>
    <row r="64" spans="7:16" ht="15.75" thickBot="1" x14ac:dyDescent="0.3">
      <c r="G64" s="48">
        <v>61</v>
      </c>
      <c r="H64" s="49">
        <v>61</v>
      </c>
      <c r="I64" s="50">
        <v>39</v>
      </c>
      <c r="N64" s="48">
        <v>60</v>
      </c>
    </row>
    <row r="65" spans="7:15" ht="15.75" thickBot="1" x14ac:dyDescent="0.3">
      <c r="G65" s="48">
        <v>62</v>
      </c>
      <c r="H65" s="49">
        <v>62</v>
      </c>
      <c r="I65" s="50">
        <v>38</v>
      </c>
      <c r="N65" s="48">
        <v>61</v>
      </c>
      <c r="O65" s="72"/>
    </row>
    <row r="66" spans="7:15" ht="15.75" thickBot="1" x14ac:dyDescent="0.3">
      <c r="G66" s="48">
        <v>63</v>
      </c>
      <c r="H66" s="49">
        <v>63</v>
      </c>
      <c r="I66" s="50">
        <v>37</v>
      </c>
      <c r="N66" s="48">
        <v>62</v>
      </c>
      <c r="O66" s="72"/>
    </row>
    <row r="67" spans="7:15" ht="15.75" thickBot="1" x14ac:dyDescent="0.3">
      <c r="G67" s="48">
        <v>64</v>
      </c>
      <c r="H67" s="49">
        <v>64</v>
      </c>
      <c r="I67" s="50">
        <v>36</v>
      </c>
      <c r="N67" s="48">
        <v>63</v>
      </c>
      <c r="O67" s="72"/>
    </row>
    <row r="68" spans="7:15" ht="15.75" thickBot="1" x14ac:dyDescent="0.3">
      <c r="G68" s="48">
        <v>65</v>
      </c>
      <c r="H68" s="49">
        <v>65</v>
      </c>
      <c r="I68" s="50">
        <v>35</v>
      </c>
      <c r="N68" s="48">
        <v>64</v>
      </c>
      <c r="O68" s="72"/>
    </row>
    <row r="69" spans="7:15" ht="15.75" thickBot="1" x14ac:dyDescent="0.3">
      <c r="G69" s="48">
        <v>66</v>
      </c>
      <c r="H69" s="49">
        <v>66</v>
      </c>
      <c r="I69" s="50">
        <v>34</v>
      </c>
      <c r="N69" s="48">
        <v>65</v>
      </c>
      <c r="O69" s="72"/>
    </row>
    <row r="70" spans="7:15" ht="15.75" thickBot="1" x14ac:dyDescent="0.3">
      <c r="G70" s="48">
        <v>67</v>
      </c>
      <c r="H70" s="49">
        <v>67</v>
      </c>
      <c r="I70" s="50">
        <v>33</v>
      </c>
      <c r="N70" s="48">
        <v>66</v>
      </c>
      <c r="O70" s="72"/>
    </row>
    <row r="71" spans="7:15" ht="15.75" thickBot="1" x14ac:dyDescent="0.3">
      <c r="G71" s="48">
        <v>68</v>
      </c>
      <c r="H71" s="49">
        <v>68</v>
      </c>
      <c r="I71" s="50">
        <v>32</v>
      </c>
      <c r="N71" s="48">
        <v>67</v>
      </c>
      <c r="O71" s="72"/>
    </row>
    <row r="72" spans="7:15" ht="15.75" thickBot="1" x14ac:dyDescent="0.3">
      <c r="G72" s="48">
        <v>69</v>
      </c>
      <c r="H72" s="49">
        <v>69</v>
      </c>
      <c r="I72" s="50">
        <v>31</v>
      </c>
      <c r="N72" s="48">
        <v>68</v>
      </c>
      <c r="O72" s="72"/>
    </row>
    <row r="73" spans="7:15" ht="15.75" thickBot="1" x14ac:dyDescent="0.3">
      <c r="G73" s="48">
        <v>70</v>
      </c>
      <c r="H73" s="49">
        <v>70</v>
      </c>
      <c r="I73" s="64">
        <v>30</v>
      </c>
      <c r="N73" s="48">
        <v>69</v>
      </c>
      <c r="O73" s="72"/>
    </row>
    <row r="74" spans="7:15" ht="15.75" thickBot="1" x14ac:dyDescent="0.3">
      <c r="G74" s="39"/>
      <c r="H74" s="73"/>
      <c r="I74" s="74"/>
      <c r="N74" s="48">
        <v>70</v>
      </c>
      <c r="O74" s="72"/>
    </row>
    <row r="75" spans="7:15" ht="15.75" thickBot="1" x14ac:dyDescent="0.3">
      <c r="G75" s="39"/>
      <c r="H75" s="73"/>
      <c r="N75" s="48"/>
      <c r="O75" s="72"/>
    </row>
    <row r="76" spans="7:15" x14ac:dyDescent="0.25">
      <c r="G76" s="39"/>
      <c r="H76" s="73"/>
    </row>
    <row r="77" spans="7:15" x14ac:dyDescent="0.25">
      <c r="G77" s="39"/>
      <c r="H77" s="73"/>
    </row>
    <row r="78" spans="7:15" x14ac:dyDescent="0.25">
      <c r="G78" s="39"/>
      <c r="H78" s="73"/>
    </row>
    <row r="79" spans="7:15" x14ac:dyDescent="0.25">
      <c r="G79" s="39"/>
      <c r="H79" s="73"/>
    </row>
    <row r="80" spans="7:15" x14ac:dyDescent="0.25">
      <c r="G80" s="39"/>
      <c r="H80" s="73"/>
    </row>
    <row r="81" spans="7:8" x14ac:dyDescent="0.25">
      <c r="G81" s="39"/>
      <c r="H81" s="73"/>
    </row>
    <row r="82" spans="7:8" x14ac:dyDescent="0.25">
      <c r="G82" s="39"/>
      <c r="H82" s="73"/>
    </row>
    <row r="83" spans="7:8" x14ac:dyDescent="0.25">
      <c r="G83" s="39"/>
      <c r="H83" s="73"/>
    </row>
    <row r="84" spans="7:8" x14ac:dyDescent="0.25">
      <c r="G84" s="39"/>
      <c r="H84" s="73"/>
    </row>
    <row r="85" spans="7:8" x14ac:dyDescent="0.25">
      <c r="G85" s="39"/>
      <c r="H85" s="73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4"/>
  <sheetViews>
    <sheetView tabSelected="1" topLeftCell="A4" zoomScaleNormal="100" workbookViewId="0">
      <selection activeCell="I33" sqref="I33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2" x14ac:dyDescent="0.25">
      <c r="A1" s="7"/>
      <c r="B1" s="8"/>
      <c r="C1" s="8"/>
      <c r="D1" s="9"/>
    </row>
    <row r="2" spans="1:12" x14ac:dyDescent="0.25">
      <c r="A2" s="10"/>
      <c r="C2" s="89" t="s">
        <v>78</v>
      </c>
      <c r="D2" s="113"/>
      <c r="F2" s="5"/>
      <c r="G2" s="5" t="s">
        <v>55</v>
      </c>
      <c r="H2" s="5"/>
      <c r="I2" s="77"/>
      <c r="K2" t="s">
        <v>70</v>
      </c>
    </row>
    <row r="3" spans="1:12" ht="18.75" x14ac:dyDescent="0.3">
      <c r="A3" s="10" t="s">
        <v>7</v>
      </c>
      <c r="B3" s="12"/>
      <c r="C3" s="114">
        <f>C4+C5</f>
        <v>38700</v>
      </c>
      <c r="D3" s="115" t="s">
        <v>53</v>
      </c>
      <c r="F3" s="76" t="s">
        <v>69</v>
      </c>
      <c r="G3" s="77" t="s">
        <v>66</v>
      </c>
      <c r="H3" s="80">
        <v>28.71</v>
      </c>
      <c r="I3" s="78">
        <f>H3*10.764</f>
        <v>309.03444000000002</v>
      </c>
      <c r="K3" t="s">
        <v>72</v>
      </c>
      <c r="L3">
        <v>279</v>
      </c>
    </row>
    <row r="4" spans="1:12" ht="30" x14ac:dyDescent="0.25">
      <c r="A4" s="13" t="s">
        <v>8</v>
      </c>
      <c r="B4" s="12"/>
      <c r="C4" s="114">
        <v>3500</v>
      </c>
      <c r="D4" s="116"/>
      <c r="E4" t="s">
        <v>71</v>
      </c>
      <c r="F4" s="90" t="s">
        <v>81</v>
      </c>
      <c r="G4" s="77" t="s">
        <v>57</v>
      </c>
      <c r="H4" s="77">
        <v>31.58</v>
      </c>
      <c r="I4" s="78">
        <f>H4*10.764</f>
        <v>339.92711999999995</v>
      </c>
    </row>
    <row r="5" spans="1:12" x14ac:dyDescent="0.25">
      <c r="A5" s="10" t="s">
        <v>9</v>
      </c>
      <c r="B5" s="12"/>
      <c r="C5" s="114">
        <v>35200</v>
      </c>
      <c r="D5" s="116"/>
      <c r="F5" s="5"/>
      <c r="G5" s="77"/>
      <c r="H5" s="77"/>
      <c r="I5" s="78"/>
    </row>
    <row r="6" spans="1:12" x14ac:dyDescent="0.25">
      <c r="A6" s="10" t="s">
        <v>10</v>
      </c>
      <c r="B6" s="12"/>
      <c r="C6" s="114">
        <f>C4</f>
        <v>3500</v>
      </c>
      <c r="D6" s="116"/>
      <c r="F6" s="5"/>
      <c r="G6" s="77"/>
      <c r="H6" s="80"/>
      <c r="I6" s="78"/>
    </row>
    <row r="7" spans="1:12" x14ac:dyDescent="0.25">
      <c r="A7" s="10" t="s">
        <v>11</v>
      </c>
      <c r="B7" s="14"/>
      <c r="C7" s="4">
        <v>0</v>
      </c>
      <c r="D7" s="4"/>
    </row>
    <row r="8" spans="1:12" x14ac:dyDescent="0.25">
      <c r="A8" s="10" t="s">
        <v>12</v>
      </c>
      <c r="B8" s="14"/>
      <c r="C8" s="4">
        <f>C9-C7</f>
        <v>60</v>
      </c>
      <c r="D8" s="91" t="s">
        <v>90</v>
      </c>
      <c r="E8" s="91">
        <v>2021</v>
      </c>
    </row>
    <row r="9" spans="1:12" x14ac:dyDescent="0.25">
      <c r="A9" s="10" t="s">
        <v>13</v>
      </c>
      <c r="B9" s="14"/>
      <c r="C9" s="4">
        <v>60</v>
      </c>
      <c r="D9" s="92"/>
      <c r="E9" s="91">
        <v>2024</v>
      </c>
    </row>
    <row r="10" spans="1:12" ht="30" x14ac:dyDescent="0.25">
      <c r="A10" s="13" t="s">
        <v>14</v>
      </c>
      <c r="B10" s="14"/>
      <c r="C10" s="4">
        <f>90*C7/C9</f>
        <v>0</v>
      </c>
      <c r="D10" s="4"/>
      <c r="E10" s="5"/>
      <c r="F10" s="75"/>
      <c r="G10" s="75"/>
    </row>
    <row r="11" spans="1:12" x14ac:dyDescent="0.25">
      <c r="A11" s="10"/>
      <c r="B11" s="15"/>
      <c r="C11" s="117">
        <f>C10%</f>
        <v>0</v>
      </c>
      <c r="D11" s="117"/>
      <c r="E11" s="3"/>
    </row>
    <row r="12" spans="1:12" x14ac:dyDescent="0.25">
      <c r="A12" s="10" t="s">
        <v>15</v>
      </c>
      <c r="B12" s="12"/>
      <c r="C12" s="114">
        <f>C6*C11</f>
        <v>0</v>
      </c>
      <c r="D12" s="116"/>
    </row>
    <row r="13" spans="1:12" x14ac:dyDescent="0.25">
      <c r="A13" s="10" t="s">
        <v>16</v>
      </c>
      <c r="B13" s="12"/>
      <c r="C13" s="114">
        <f>C6-C12</f>
        <v>3500</v>
      </c>
      <c r="D13" s="116"/>
    </row>
    <row r="14" spans="1:12" x14ac:dyDescent="0.25">
      <c r="A14" s="10" t="s">
        <v>9</v>
      </c>
      <c r="B14" s="12"/>
      <c r="C14" s="114">
        <f>C5</f>
        <v>35200</v>
      </c>
      <c r="D14" s="116"/>
      <c r="F14" s="75"/>
      <c r="G14" s="75"/>
      <c r="H14" s="4"/>
    </row>
    <row r="15" spans="1:12" x14ac:dyDescent="0.25">
      <c r="B15" s="12"/>
      <c r="C15" s="114"/>
      <c r="D15" s="116"/>
      <c r="H15" s="4"/>
    </row>
    <row r="16" spans="1:12" x14ac:dyDescent="0.25">
      <c r="A16" s="16" t="s">
        <v>17</v>
      </c>
      <c r="B16" s="17"/>
      <c r="C16" s="115">
        <f>C14+C13</f>
        <v>38700</v>
      </c>
      <c r="D16" s="115"/>
      <c r="E16" s="34"/>
      <c r="H16" s="75"/>
    </row>
    <row r="17" spans="1:18" x14ac:dyDescent="0.25">
      <c r="B17" s="14"/>
      <c r="C17" s="4"/>
      <c r="D17" s="4"/>
      <c r="E17" s="6"/>
      <c r="H17" s="75"/>
      <c r="R17" t="s">
        <v>83</v>
      </c>
    </row>
    <row r="18" spans="1:18" ht="16.5" x14ac:dyDescent="0.3">
      <c r="A18" s="16" t="s">
        <v>62</v>
      </c>
      <c r="B18" s="5"/>
      <c r="C18" s="118">
        <v>309</v>
      </c>
      <c r="D18" s="118"/>
      <c r="E18" s="38"/>
      <c r="R18" t="s">
        <v>84</v>
      </c>
    </row>
    <row r="19" spans="1:18" x14ac:dyDescent="0.25">
      <c r="A19" s="10"/>
      <c r="B19" s="4"/>
      <c r="C19" s="119">
        <f>C18*C16</f>
        <v>11958300</v>
      </c>
      <c r="D19" t="s">
        <v>40</v>
      </c>
      <c r="E19" s="18"/>
      <c r="H19" s="4"/>
    </row>
    <row r="20" spans="1:18" x14ac:dyDescent="0.25">
      <c r="A20" s="10"/>
      <c r="B20" s="34"/>
      <c r="C20" s="34">
        <f>C19*0.85</f>
        <v>10164555</v>
      </c>
      <c r="D20" t="s">
        <v>18</v>
      </c>
      <c r="E20" s="19"/>
      <c r="F20" s="6"/>
      <c r="H20" s="75"/>
    </row>
    <row r="21" spans="1:18" x14ac:dyDescent="0.25">
      <c r="A21" s="10"/>
      <c r="C21" s="34">
        <f>C19*70%</f>
        <v>8370809.9999999991</v>
      </c>
      <c r="D21" t="s">
        <v>19</v>
      </c>
      <c r="E21" s="19"/>
      <c r="F21" s="34"/>
    </row>
    <row r="22" spans="1:18" x14ac:dyDescent="0.25">
      <c r="A22" s="10"/>
      <c r="D22"/>
      <c r="E22" s="34"/>
    </row>
    <row r="23" spans="1:18" x14ac:dyDescent="0.25">
      <c r="A23" s="20" t="s">
        <v>20</v>
      </c>
      <c r="B23" s="21"/>
      <c r="C23" s="120">
        <f>C4*D23</f>
        <v>1189650.0000000002</v>
      </c>
      <c r="D23" s="121">
        <f>C18*1.1</f>
        <v>339.90000000000003</v>
      </c>
      <c r="E23" s="34"/>
    </row>
    <row r="24" spans="1:18" x14ac:dyDescent="0.25">
      <c r="A24" s="10" t="s">
        <v>21</v>
      </c>
      <c r="C24">
        <f>339.9*21431</f>
        <v>7284396.8999999994</v>
      </c>
      <c r="D24"/>
    </row>
    <row r="25" spans="1:18" x14ac:dyDescent="0.25">
      <c r="A25" s="22" t="s">
        <v>22</v>
      </c>
      <c r="B25" s="11"/>
      <c r="C25" s="34">
        <f>C19*0.03/12</f>
        <v>29895.75</v>
      </c>
      <c r="D25" s="34"/>
      <c r="E25" s="34"/>
    </row>
    <row r="26" spans="1:18" x14ac:dyDescent="0.25">
      <c r="C26" s="34"/>
      <c r="D26" s="34"/>
      <c r="F26" s="77" t="s">
        <v>75</v>
      </c>
    </row>
    <row r="27" spans="1:18" x14ac:dyDescent="0.25">
      <c r="A27" s="5" t="s">
        <v>76</v>
      </c>
      <c r="B27" s="5"/>
      <c r="C27" s="122"/>
      <c r="D27" s="122"/>
    </row>
    <row r="28" spans="1:18" x14ac:dyDescent="0.25">
      <c r="D28" s="75"/>
    </row>
    <row r="29" spans="1:18" x14ac:dyDescent="0.25">
      <c r="D29"/>
      <c r="G29" s="3"/>
      <c r="H29" s="3"/>
    </row>
    <row r="30" spans="1:18" ht="18.75" x14ac:dyDescent="0.3">
      <c r="D30"/>
      <c r="E30" s="125" t="s">
        <v>88</v>
      </c>
      <c r="F30" s="125"/>
      <c r="G30" s="3"/>
      <c r="H30" s="3"/>
      <c r="K30">
        <v>11969888</v>
      </c>
    </row>
    <row r="31" spans="1:18" ht="18.75" x14ac:dyDescent="0.3">
      <c r="D31"/>
      <c r="E31" s="125" t="s">
        <v>89</v>
      </c>
      <c r="F31" s="125"/>
      <c r="G31" s="3"/>
      <c r="H31" s="3"/>
      <c r="K31" s="75">
        <f>K30/C18</f>
        <v>38737.50161812298</v>
      </c>
    </row>
    <row r="32" spans="1:18" ht="18.75" x14ac:dyDescent="0.3">
      <c r="D32"/>
      <c r="E32" s="111" t="s">
        <v>40</v>
      </c>
      <c r="F32" s="111">
        <f>C19</f>
        <v>11958300</v>
      </c>
      <c r="G32" s="3"/>
      <c r="H32" s="3"/>
    </row>
    <row r="33" spans="1:8" ht="18.75" x14ac:dyDescent="0.3">
      <c r="D33"/>
      <c r="E33" s="111" t="s">
        <v>18</v>
      </c>
      <c r="F33" s="111">
        <f>F32*85%</f>
        <v>10164555</v>
      </c>
      <c r="G33" s="3"/>
      <c r="H33" s="79">
        <f>F32*75</f>
        <v>896872500</v>
      </c>
    </row>
    <row r="34" spans="1:8" ht="18.75" x14ac:dyDescent="0.3">
      <c r="D34"/>
      <c r="E34" s="111" t="s">
        <v>19</v>
      </c>
      <c r="F34" s="111">
        <f>F32*70%</f>
        <v>8370809.9999999991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G36" s="3"/>
      <c r="H36" s="3"/>
    </row>
    <row r="37" spans="1:8" x14ac:dyDescent="0.25">
      <c r="D37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3"/>
    </row>
    <row r="59" spans="1:1" ht="15.75" x14ac:dyDescent="0.25">
      <c r="A59" s="24"/>
    </row>
    <row r="60" spans="1:1" ht="15.75" x14ac:dyDescent="0.25">
      <c r="A60" s="24"/>
    </row>
    <row r="61" spans="1:1" ht="15.75" x14ac:dyDescent="0.25">
      <c r="A61" s="24"/>
    </row>
    <row r="62" spans="1:1" ht="15.75" x14ac:dyDescent="0.25">
      <c r="A62" s="24"/>
    </row>
    <row r="63" spans="1:1" ht="15.75" x14ac:dyDescent="0.25">
      <c r="A63" s="24"/>
    </row>
    <row r="64" spans="1:1" ht="15.75" x14ac:dyDescent="0.25">
      <c r="A64" s="24"/>
    </row>
    <row r="65" spans="1:1" ht="15.75" x14ac:dyDescent="0.25">
      <c r="A65" s="24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opLeftCell="C1" zoomScaleNormal="100" workbookViewId="0">
      <selection activeCell="C4" sqref="C4"/>
    </sheetView>
  </sheetViews>
  <sheetFormatPr defaultRowHeight="15" x14ac:dyDescent="0.25"/>
  <cols>
    <col min="1" max="1" width="10.57031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5" width="9.5703125" customWidth="1"/>
    <col min="16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98" t="s">
        <v>0</v>
      </c>
      <c r="B1" s="98" t="s">
        <v>3</v>
      </c>
      <c r="C1" s="98" t="s">
        <v>68</v>
      </c>
      <c r="D1" s="98" t="s">
        <v>5</v>
      </c>
      <c r="E1" s="98" t="s">
        <v>1</v>
      </c>
      <c r="F1" s="98" t="s">
        <v>4</v>
      </c>
      <c r="G1" s="98" t="s">
        <v>82</v>
      </c>
      <c r="H1" s="98" t="s">
        <v>6</v>
      </c>
      <c r="I1" s="98" t="s">
        <v>2</v>
      </c>
      <c r="J1" s="1" t="s">
        <v>79</v>
      </c>
      <c r="O1" s="1" t="s">
        <v>86</v>
      </c>
      <c r="P1" s="1" t="s">
        <v>62</v>
      </c>
      <c r="Q1" s="1" t="s">
        <v>67</v>
      </c>
      <c r="R1" s="1" t="s">
        <v>74</v>
      </c>
      <c r="S1" s="1" t="s">
        <v>73</v>
      </c>
      <c r="T1" s="1" t="s">
        <v>1</v>
      </c>
      <c r="U1" s="2"/>
      <c r="V1" s="2"/>
      <c r="W1" s="2"/>
      <c r="X1" s="2"/>
      <c r="Y1" s="2"/>
    </row>
    <row r="2" spans="1:32" x14ac:dyDescent="0.25">
      <c r="A2" s="99">
        <v>1</v>
      </c>
      <c r="B2" s="103">
        <v>330</v>
      </c>
      <c r="C2" s="103">
        <f>B2*1.1</f>
        <v>363.00000000000006</v>
      </c>
      <c r="D2" s="108">
        <f t="shared" ref="D2:D14" si="0">C2*1.2</f>
        <v>435.60000000000008</v>
      </c>
      <c r="E2" s="108">
        <v>12800000</v>
      </c>
      <c r="F2" s="108">
        <f>E2/B2</f>
        <v>38787.878787878784</v>
      </c>
      <c r="G2" s="109">
        <f>E2/C2</f>
        <v>35261.707988980714</v>
      </c>
      <c r="H2" s="11">
        <f>E2/D2</f>
        <v>29384.756657483926</v>
      </c>
      <c r="I2" s="11">
        <v>3</v>
      </c>
      <c r="J2">
        <v>308</v>
      </c>
      <c r="P2" s="96"/>
      <c r="Q2" s="93">
        <f>35.63*10.764</f>
        <v>383.52132</v>
      </c>
      <c r="R2" s="93" t="e">
        <f>T2/P2</f>
        <v>#DIV/0!</v>
      </c>
      <c r="S2" s="93">
        <f>T2/Q2</f>
        <v>22163.044286560133</v>
      </c>
      <c r="T2" s="93">
        <v>8500000</v>
      </c>
      <c r="U2" s="97"/>
      <c r="V2">
        <v>2024</v>
      </c>
      <c r="W2" s="3"/>
      <c r="X2" s="3"/>
      <c r="Y2" s="3"/>
      <c r="AB2" s="36"/>
    </row>
    <row r="3" spans="1:32" x14ac:dyDescent="0.25">
      <c r="A3" s="99">
        <v>2</v>
      </c>
      <c r="B3" s="11">
        <v>512</v>
      </c>
      <c r="C3" s="11">
        <f t="shared" ref="C3:C11" si="1">B3*1.1</f>
        <v>563.20000000000005</v>
      </c>
      <c r="D3" s="100">
        <f t="shared" si="0"/>
        <v>675.84</v>
      </c>
      <c r="E3" s="100">
        <v>15000000</v>
      </c>
      <c r="F3" s="100">
        <f t="shared" ref="F3:F6" si="2">E3/B3</f>
        <v>29296.875</v>
      </c>
      <c r="G3" s="101">
        <f t="shared" ref="G3:G6" si="3">E3/C3</f>
        <v>26633.522727272724</v>
      </c>
      <c r="H3" s="11">
        <f t="shared" ref="H3:H12" si="4">E3/D3</f>
        <v>22194.602272727272</v>
      </c>
      <c r="I3" s="11">
        <v>14</v>
      </c>
      <c r="J3">
        <v>1406</v>
      </c>
      <c r="P3" s="96"/>
      <c r="Q3" s="93">
        <f>59.27*10.764</f>
        <v>637.98227999999995</v>
      </c>
      <c r="R3" s="93" t="e">
        <f t="shared" ref="R3:R6" si="5">T3/P3</f>
        <v>#DIV/0!</v>
      </c>
      <c r="S3" s="93">
        <f>T3/Q3</f>
        <v>27743.71727064269</v>
      </c>
      <c r="T3" s="93">
        <v>17700000</v>
      </c>
      <c r="U3" s="97"/>
      <c r="V3">
        <v>2024</v>
      </c>
      <c r="W3" s="3"/>
      <c r="X3" s="3"/>
      <c r="Y3" s="3"/>
      <c r="AF3" s="36"/>
    </row>
    <row r="4" spans="1:32" x14ac:dyDescent="0.25">
      <c r="A4" s="99">
        <v>3</v>
      </c>
      <c r="B4" s="110">
        <f>C4/1.1</f>
        <v>409.09090909090907</v>
      </c>
      <c r="C4" s="103">
        <v>450</v>
      </c>
      <c r="D4" s="108">
        <f t="shared" si="0"/>
        <v>540</v>
      </c>
      <c r="E4" s="108">
        <v>16500000</v>
      </c>
      <c r="F4" s="108">
        <f t="shared" si="2"/>
        <v>40333.333333333336</v>
      </c>
      <c r="G4" s="109">
        <f t="shared" si="3"/>
        <v>36666.666666666664</v>
      </c>
      <c r="H4" s="11">
        <f t="shared" si="4"/>
        <v>30555.555555555555</v>
      </c>
      <c r="I4" s="11">
        <v>12</v>
      </c>
      <c r="J4">
        <v>1206</v>
      </c>
      <c r="P4" s="96"/>
      <c r="Q4" s="93">
        <f>64.66*10.764</f>
        <v>696.00023999999996</v>
      </c>
      <c r="R4" s="93" t="e">
        <f t="shared" si="5"/>
        <v>#DIV/0!</v>
      </c>
      <c r="S4" s="93">
        <f>T4/Q4</f>
        <v>24137.922711061135</v>
      </c>
      <c r="T4" s="93">
        <v>16800000</v>
      </c>
      <c r="U4" s="97"/>
      <c r="V4">
        <v>2024</v>
      </c>
      <c r="W4" s="3"/>
      <c r="X4" s="3"/>
      <c r="Y4" s="3"/>
    </row>
    <row r="5" spans="1:32" x14ac:dyDescent="0.25">
      <c r="A5" s="99">
        <v>4</v>
      </c>
      <c r="B5" s="102">
        <v>576</v>
      </c>
      <c r="C5" s="11">
        <f t="shared" si="1"/>
        <v>633.6</v>
      </c>
      <c r="D5" s="100">
        <f t="shared" si="0"/>
        <v>760.32</v>
      </c>
      <c r="E5" s="100">
        <v>16500000</v>
      </c>
      <c r="F5" s="100">
        <f t="shared" si="2"/>
        <v>28645.833333333332</v>
      </c>
      <c r="G5" s="101">
        <f t="shared" si="3"/>
        <v>26041.666666666664</v>
      </c>
      <c r="H5" s="11">
        <f t="shared" si="4"/>
        <v>21701.388888888887</v>
      </c>
      <c r="I5" s="11">
        <v>10</v>
      </c>
      <c r="J5">
        <v>1010</v>
      </c>
      <c r="P5" s="93">
        <f>34*10.764</f>
        <v>365.976</v>
      </c>
      <c r="Q5" s="93">
        <f>37.4*10.764</f>
        <v>402.57359999999994</v>
      </c>
      <c r="R5" s="93">
        <f t="shared" si="5"/>
        <v>27324.196122150086</v>
      </c>
      <c r="S5" s="93">
        <f t="shared" ref="S5:S10" si="6">T5/Q5</f>
        <v>24840.178292863719</v>
      </c>
      <c r="T5" s="93">
        <v>10000000</v>
      </c>
      <c r="U5" s="97"/>
      <c r="V5">
        <v>2024</v>
      </c>
      <c r="W5" s="3"/>
      <c r="X5" s="3"/>
      <c r="Y5" s="3"/>
    </row>
    <row r="6" spans="1:32" x14ac:dyDescent="0.25">
      <c r="A6" s="99">
        <v>5</v>
      </c>
      <c r="B6" s="103">
        <v>359</v>
      </c>
      <c r="C6" s="103">
        <f t="shared" si="1"/>
        <v>394.90000000000003</v>
      </c>
      <c r="D6" s="108">
        <f t="shared" si="0"/>
        <v>473.88</v>
      </c>
      <c r="E6" s="108">
        <v>13800000</v>
      </c>
      <c r="F6" s="108">
        <f t="shared" si="2"/>
        <v>38440.111420612811</v>
      </c>
      <c r="G6" s="109">
        <f t="shared" si="3"/>
        <v>34945.555836920736</v>
      </c>
      <c r="H6" s="11">
        <f t="shared" si="4"/>
        <v>29121.296530767282</v>
      </c>
      <c r="I6" s="11">
        <v>7</v>
      </c>
      <c r="J6">
        <v>707</v>
      </c>
      <c r="N6" t="s">
        <v>80</v>
      </c>
      <c r="P6" s="93">
        <f>Q6/1.1</f>
        <v>580.27745454545436</v>
      </c>
      <c r="Q6" s="93">
        <f>59.3*10.764</f>
        <v>638.3051999999999</v>
      </c>
      <c r="R6" s="93">
        <f t="shared" si="5"/>
        <v>25849.703245406752</v>
      </c>
      <c r="S6" s="93">
        <f t="shared" si="6"/>
        <v>23499.730223097042</v>
      </c>
      <c r="T6" s="93">
        <v>15000000</v>
      </c>
      <c r="U6" s="97"/>
      <c r="V6">
        <v>2023</v>
      </c>
      <c r="W6" s="3"/>
      <c r="X6" s="3"/>
      <c r="Y6" s="3"/>
    </row>
    <row r="7" spans="1:32" x14ac:dyDescent="0.25">
      <c r="A7" s="99">
        <v>6</v>
      </c>
      <c r="B7" s="11">
        <v>320</v>
      </c>
      <c r="C7" s="11">
        <f t="shared" si="1"/>
        <v>352</v>
      </c>
      <c r="D7" s="100">
        <f t="shared" si="0"/>
        <v>422.4</v>
      </c>
      <c r="E7" s="100">
        <v>13000000</v>
      </c>
      <c r="F7" s="100">
        <f t="shared" ref="F7:F14" si="7">ROUND((E7/B7),0)</f>
        <v>40625</v>
      </c>
      <c r="G7" s="101">
        <f t="shared" ref="G7" si="8">F7/C7</f>
        <v>115.41193181818181</v>
      </c>
      <c r="H7" s="11">
        <f t="shared" si="4"/>
        <v>30776.515151515152</v>
      </c>
      <c r="I7" s="103">
        <v>1</v>
      </c>
      <c r="J7" s="5">
        <v>101</v>
      </c>
      <c r="K7" s="5"/>
      <c r="L7" s="5"/>
      <c r="M7" s="5"/>
      <c r="N7" s="5" t="s">
        <v>80</v>
      </c>
      <c r="O7" s="5"/>
      <c r="P7" s="94">
        <f>30.66*10.764</f>
        <v>330.02423999999996</v>
      </c>
      <c r="Q7" s="94">
        <f>33.72*10.764</f>
        <v>362.96207999999996</v>
      </c>
      <c r="R7" s="94">
        <f>T7/P7</f>
        <v>39942.520585760612</v>
      </c>
      <c r="S7" s="94">
        <f t="shared" si="6"/>
        <v>36317.84345075387</v>
      </c>
      <c r="T7" s="94">
        <v>13182000</v>
      </c>
      <c r="U7" s="95"/>
      <c r="V7" s="5">
        <v>2023</v>
      </c>
      <c r="W7" s="3"/>
      <c r="X7" s="3"/>
      <c r="Y7" s="3"/>
    </row>
    <row r="8" spans="1:32" x14ac:dyDescent="0.25">
      <c r="A8" s="99">
        <v>7</v>
      </c>
      <c r="B8" s="11">
        <f>C8/1.1</f>
        <v>499.99999999999994</v>
      </c>
      <c r="C8" s="11">
        <v>550</v>
      </c>
      <c r="D8" s="100">
        <f t="shared" si="0"/>
        <v>660</v>
      </c>
      <c r="E8" s="100">
        <v>11800000</v>
      </c>
      <c r="F8" s="100">
        <f t="shared" si="7"/>
        <v>23600</v>
      </c>
      <c r="G8" s="101">
        <f>E8/C8</f>
        <v>21454.545454545456</v>
      </c>
      <c r="H8" s="11">
        <f t="shared" si="4"/>
        <v>17878.78787878788</v>
      </c>
      <c r="I8" s="103">
        <v>2</v>
      </c>
      <c r="J8" s="5">
        <v>208</v>
      </c>
      <c r="K8" s="5"/>
      <c r="L8" s="5"/>
      <c r="M8" s="5"/>
      <c r="N8" s="5" t="s">
        <v>80</v>
      </c>
      <c r="O8" s="5"/>
      <c r="P8" s="94">
        <f>30.66*10.764</f>
        <v>330.02423999999996</v>
      </c>
      <c r="Q8" s="94">
        <f>33.72*10.764</f>
        <v>362.96207999999996</v>
      </c>
      <c r="R8" s="94">
        <f>T8/P8</f>
        <v>36260.972830359373</v>
      </c>
      <c r="S8" s="94">
        <f t="shared" si="6"/>
        <v>32970.386327960216</v>
      </c>
      <c r="T8" s="94">
        <v>11967000</v>
      </c>
      <c r="U8" s="95"/>
      <c r="V8" s="5">
        <v>2023</v>
      </c>
      <c r="W8" s="3"/>
      <c r="X8" s="3"/>
      <c r="Y8" s="3"/>
    </row>
    <row r="9" spans="1:32" x14ac:dyDescent="0.25">
      <c r="A9" s="99">
        <v>8</v>
      </c>
      <c r="B9" s="11">
        <v>447</v>
      </c>
      <c r="C9" s="11">
        <f t="shared" si="1"/>
        <v>491.70000000000005</v>
      </c>
      <c r="D9" s="100">
        <f t="shared" si="0"/>
        <v>590.04000000000008</v>
      </c>
      <c r="E9" s="100">
        <v>13000000</v>
      </c>
      <c r="F9" s="100">
        <f t="shared" si="7"/>
        <v>29083</v>
      </c>
      <c r="G9" s="101">
        <f>E9/C9</f>
        <v>26438.885499288182</v>
      </c>
      <c r="H9" s="11">
        <f t="shared" si="4"/>
        <v>22032.40458274015</v>
      </c>
      <c r="I9" s="11">
        <v>6</v>
      </c>
      <c r="J9">
        <v>603</v>
      </c>
      <c r="O9">
        <v>40.46</v>
      </c>
      <c r="P9" s="75">
        <f>O9*10.764</f>
        <v>435.51143999999999</v>
      </c>
      <c r="Q9">
        <f>48.55*10.764</f>
        <v>522.59219999999993</v>
      </c>
      <c r="R9" s="93">
        <f>T9/P9</f>
        <v>29849.962150247993</v>
      </c>
      <c r="S9" s="93">
        <f t="shared" si="6"/>
        <v>24875.993174027477</v>
      </c>
      <c r="T9" s="93">
        <v>13000000</v>
      </c>
      <c r="U9" s="3"/>
      <c r="V9">
        <v>2024</v>
      </c>
      <c r="W9" s="3"/>
      <c r="X9" s="11" t="s">
        <v>85</v>
      </c>
      <c r="Y9" s="3"/>
    </row>
    <row r="10" spans="1:32" ht="16.5" x14ac:dyDescent="0.3">
      <c r="A10" s="99">
        <v>9</v>
      </c>
      <c r="B10" s="11">
        <v>330</v>
      </c>
      <c r="C10" s="11">
        <f t="shared" si="1"/>
        <v>363.00000000000006</v>
      </c>
      <c r="D10" s="100">
        <f>C10*1.2</f>
        <v>435.60000000000008</v>
      </c>
      <c r="E10" s="100">
        <v>11700000</v>
      </c>
      <c r="F10" s="100">
        <f t="shared" si="7"/>
        <v>35455</v>
      </c>
      <c r="G10" s="11">
        <f t="shared" ref="G10:G12" si="9">ROUND((E10/C10),0)</f>
        <v>32231</v>
      </c>
      <c r="H10" s="11">
        <f t="shared" si="4"/>
        <v>26859.504132231399</v>
      </c>
      <c r="I10" s="11">
        <f t="shared" ref="I10:J14" si="10">U10</f>
        <v>0</v>
      </c>
      <c r="J10">
        <f t="shared" si="10"/>
        <v>2023</v>
      </c>
      <c r="P10">
        <f>Q10/1.1</f>
        <v>580.27745454545436</v>
      </c>
      <c r="Q10">
        <f>59.3*10.764</f>
        <v>638.3051999999999</v>
      </c>
      <c r="R10" s="93">
        <f>T10/P10</f>
        <v>27573.016795100535</v>
      </c>
      <c r="S10" s="93">
        <f t="shared" si="6"/>
        <v>25066.378904636844</v>
      </c>
      <c r="T10" s="93">
        <v>16000000</v>
      </c>
      <c r="U10" s="3"/>
      <c r="V10" s="3">
        <v>2023</v>
      </c>
      <c r="W10" s="86"/>
      <c r="X10" s="87" t="s">
        <v>87</v>
      </c>
      <c r="Y10" s="87"/>
      <c r="Z10" s="25"/>
      <c r="AA10" s="25"/>
      <c r="AB10" s="25"/>
      <c r="AC10" s="25"/>
      <c r="AD10" s="25"/>
    </row>
    <row r="11" spans="1:32" ht="18.75" x14ac:dyDescent="0.25">
      <c r="A11" s="99">
        <v>10</v>
      </c>
      <c r="B11" s="11">
        <v>309</v>
      </c>
      <c r="C11" s="11">
        <f t="shared" si="1"/>
        <v>339.90000000000003</v>
      </c>
      <c r="D11" s="11">
        <f t="shared" si="0"/>
        <v>407.88000000000005</v>
      </c>
      <c r="E11" s="100">
        <v>11000000</v>
      </c>
      <c r="F11" s="11">
        <f t="shared" si="7"/>
        <v>35599</v>
      </c>
      <c r="G11" s="11">
        <f t="shared" si="9"/>
        <v>32362</v>
      </c>
      <c r="H11" s="11">
        <f t="shared" si="4"/>
        <v>26968.716289104636</v>
      </c>
      <c r="I11" s="11">
        <f t="shared" si="10"/>
        <v>0</v>
      </c>
      <c r="J11">
        <f t="shared" si="10"/>
        <v>0</v>
      </c>
      <c r="S11" s="93"/>
      <c r="T11" s="93"/>
      <c r="U11" s="3"/>
      <c r="V11" s="3"/>
      <c r="W11" s="88"/>
      <c r="X11" s="3"/>
      <c r="Y11" s="3"/>
    </row>
    <row r="12" spans="1:32" x14ac:dyDescent="0.25">
      <c r="A12" s="99">
        <v>11</v>
      </c>
      <c r="B12" s="102">
        <f>C12/1.1</f>
        <v>454.54545454545445</v>
      </c>
      <c r="C12" s="11">
        <f>D12/1.1</f>
        <v>499.99999999999994</v>
      </c>
      <c r="D12" s="11">
        <v>550</v>
      </c>
      <c r="E12" s="100">
        <v>11000000</v>
      </c>
      <c r="F12" s="11">
        <f t="shared" si="7"/>
        <v>24200</v>
      </c>
      <c r="G12" s="11">
        <f t="shared" si="9"/>
        <v>22000</v>
      </c>
      <c r="H12" s="11">
        <f t="shared" si="4"/>
        <v>20000</v>
      </c>
      <c r="I12" s="11">
        <f t="shared" si="10"/>
        <v>0</v>
      </c>
      <c r="J12">
        <f t="shared" si="10"/>
        <v>0</v>
      </c>
      <c r="S12" s="93"/>
      <c r="T12" s="93"/>
      <c r="U12" s="3"/>
      <c r="V12" s="3"/>
      <c r="W12" s="3"/>
      <c r="X12" s="3"/>
      <c r="Y12" s="3"/>
    </row>
    <row r="13" spans="1:32" x14ac:dyDescent="0.25">
      <c r="A13" s="99">
        <v>12</v>
      </c>
      <c r="B13" s="102">
        <f t="shared" ref="B13" si="11">C13/1.1</f>
        <v>414.87603305785115</v>
      </c>
      <c r="C13" s="112">
        <f>D13/1.1</f>
        <v>456.36363636363632</v>
      </c>
      <c r="D13" s="11">
        <v>502</v>
      </c>
      <c r="E13" s="100">
        <v>11500000</v>
      </c>
      <c r="F13" s="11">
        <f t="shared" si="7"/>
        <v>27719</v>
      </c>
      <c r="G13" s="11">
        <f t="shared" ref="G13:G15" si="12">ROUND((E13/C13),0)</f>
        <v>25199</v>
      </c>
      <c r="H13" s="11">
        <f t="shared" ref="H13:H15" si="13">E13/D13</f>
        <v>22908.366533864541</v>
      </c>
      <c r="I13" s="11">
        <f t="shared" si="10"/>
        <v>0</v>
      </c>
      <c r="J13">
        <f t="shared" si="10"/>
        <v>0</v>
      </c>
      <c r="S13" s="93"/>
      <c r="T13" s="93"/>
      <c r="U13" s="3"/>
      <c r="V13" s="3"/>
      <c r="W13" s="3"/>
      <c r="X13" s="3"/>
      <c r="Y13" s="3"/>
    </row>
    <row r="14" spans="1:32" x14ac:dyDescent="0.25">
      <c r="A14" s="99">
        <v>13</v>
      </c>
      <c r="B14" s="102">
        <v>305</v>
      </c>
      <c r="C14" s="11">
        <f>B14*1.1</f>
        <v>335.5</v>
      </c>
      <c r="D14" s="11">
        <f t="shared" si="0"/>
        <v>402.59999999999997</v>
      </c>
      <c r="E14" s="100">
        <v>13000000</v>
      </c>
      <c r="F14" s="11">
        <f t="shared" si="7"/>
        <v>42623</v>
      </c>
      <c r="G14" s="11">
        <f t="shared" si="12"/>
        <v>38748</v>
      </c>
      <c r="H14" s="11">
        <f t="shared" si="13"/>
        <v>32290.114257327376</v>
      </c>
      <c r="I14" s="11">
        <f t="shared" si="10"/>
        <v>0</v>
      </c>
      <c r="J14">
        <f t="shared" si="10"/>
        <v>0</v>
      </c>
      <c r="S14" s="93"/>
      <c r="T14" s="93"/>
      <c r="U14" s="3"/>
      <c r="V14" s="3"/>
      <c r="W14" s="3"/>
      <c r="X14" s="3"/>
      <c r="Y14" s="3"/>
    </row>
    <row r="15" spans="1:32" x14ac:dyDescent="0.25">
      <c r="A15" s="99">
        <v>14</v>
      </c>
      <c r="B15" s="11"/>
      <c r="C15" s="11"/>
      <c r="D15" s="11">
        <f t="shared" ref="D15:D18" si="14">C15*1.2</f>
        <v>0</v>
      </c>
      <c r="E15" s="100"/>
      <c r="F15" s="11" t="e">
        <f t="shared" ref="F15:F18" si="15">ROUND((E15/B15),0)</f>
        <v>#DIV/0!</v>
      </c>
      <c r="G15" s="11" t="e">
        <f t="shared" si="12"/>
        <v>#DIV/0!</v>
      </c>
      <c r="H15" s="11" t="e">
        <f t="shared" si="13"/>
        <v>#DIV/0!</v>
      </c>
      <c r="I15" s="11">
        <f t="shared" ref="I15:J18" si="16">U15</f>
        <v>0</v>
      </c>
      <c r="J15">
        <f t="shared" si="16"/>
        <v>0</v>
      </c>
      <c r="S15" s="93"/>
      <c r="T15" s="93"/>
      <c r="U15" s="3"/>
      <c r="V15" s="3"/>
      <c r="W15" s="3"/>
      <c r="X15" s="3"/>
      <c r="Y15" s="3"/>
    </row>
    <row r="16" spans="1:32" x14ac:dyDescent="0.25">
      <c r="A16" s="99">
        <v>15</v>
      </c>
      <c r="B16" s="11"/>
      <c r="C16" s="11"/>
      <c r="D16" s="11">
        <f t="shared" si="14"/>
        <v>0</v>
      </c>
      <c r="E16" s="100"/>
      <c r="F16" s="11" t="e">
        <f t="shared" si="15"/>
        <v>#DIV/0!</v>
      </c>
      <c r="G16" s="11" t="e">
        <f t="shared" ref="G16:G18" si="17">ROUND((E16/C16),0)</f>
        <v>#DIV/0!</v>
      </c>
      <c r="H16" s="11" t="e">
        <f t="shared" ref="H16:H18" si="18">ROUND((E16/D16),0)</f>
        <v>#DIV/0!</v>
      </c>
      <c r="I16" s="11">
        <f t="shared" si="16"/>
        <v>0</v>
      </c>
      <c r="J16">
        <f t="shared" si="16"/>
        <v>0</v>
      </c>
      <c r="S16" s="93"/>
      <c r="T16" s="93"/>
    </row>
    <row r="17" spans="1:20" x14ac:dyDescent="0.25">
      <c r="A17" s="99">
        <v>16</v>
      </c>
      <c r="B17" s="11">
        <f t="shared" ref="B17:B18" si="19">P17</f>
        <v>0</v>
      </c>
      <c r="C17" s="11">
        <f t="shared" ref="C17:C18" si="20">B17*1.2</f>
        <v>0</v>
      </c>
      <c r="D17" s="11">
        <f t="shared" si="14"/>
        <v>0</v>
      </c>
      <c r="E17" s="100"/>
      <c r="F17" s="11" t="e">
        <f t="shared" si="15"/>
        <v>#DIV/0!</v>
      </c>
      <c r="G17" s="11" t="e">
        <f t="shared" si="17"/>
        <v>#DIV/0!</v>
      </c>
      <c r="H17" s="11" t="e">
        <f t="shared" si="18"/>
        <v>#DIV/0!</v>
      </c>
      <c r="I17" s="11">
        <f t="shared" si="16"/>
        <v>0</v>
      </c>
      <c r="J17">
        <f t="shared" si="16"/>
        <v>0</v>
      </c>
      <c r="S17" s="93"/>
      <c r="T17" s="93"/>
    </row>
    <row r="18" spans="1:20" x14ac:dyDescent="0.25">
      <c r="A18" s="99">
        <v>17</v>
      </c>
      <c r="B18" s="11">
        <f t="shared" si="19"/>
        <v>0</v>
      </c>
      <c r="C18" s="11">
        <f t="shared" si="20"/>
        <v>0</v>
      </c>
      <c r="D18" s="11">
        <f t="shared" si="14"/>
        <v>0</v>
      </c>
      <c r="E18" s="100"/>
      <c r="F18" s="11" t="e">
        <f t="shared" si="15"/>
        <v>#DIV/0!</v>
      </c>
      <c r="G18" s="11" t="e">
        <f t="shared" si="17"/>
        <v>#DIV/0!</v>
      </c>
      <c r="H18" s="11" t="e">
        <f t="shared" si="18"/>
        <v>#DIV/0!</v>
      </c>
      <c r="I18" s="11">
        <f t="shared" si="16"/>
        <v>0</v>
      </c>
      <c r="J18">
        <f t="shared" si="16"/>
        <v>0</v>
      </c>
      <c r="S18" s="93"/>
      <c r="T18" s="93"/>
    </row>
    <row r="19" spans="1:20" s="6" customFormat="1" x14ac:dyDescent="0.25">
      <c r="A19" s="104"/>
      <c r="B19" s="101"/>
      <c r="C19" s="101"/>
      <c r="D19" s="101"/>
      <c r="E19" s="101"/>
      <c r="F19" s="101"/>
      <c r="G19" s="101"/>
      <c r="H19" s="101"/>
      <c r="I19" s="101"/>
      <c r="J19" s="81"/>
      <c r="K19" s="81"/>
      <c r="L19" s="81"/>
      <c r="M19" s="81"/>
    </row>
    <row r="20" spans="1:20" s="6" customFormat="1" ht="16.5" x14ac:dyDescent="0.3">
      <c r="A20" s="104"/>
      <c r="B20" s="101"/>
      <c r="C20" s="101"/>
      <c r="D20" s="101"/>
      <c r="E20" s="101"/>
      <c r="F20" s="105"/>
      <c r="G20" s="101"/>
      <c r="H20" s="101"/>
      <c r="I20" s="101"/>
      <c r="J20" s="81"/>
      <c r="K20" s="81"/>
      <c r="L20" s="81"/>
      <c r="M20" s="81"/>
    </row>
    <row r="21" spans="1:20" s="6" customFormat="1" x14ac:dyDescent="0.25">
      <c r="A21" s="104"/>
      <c r="B21" s="101"/>
      <c r="C21" s="101"/>
      <c r="D21" s="101"/>
      <c r="E21" s="101"/>
      <c r="F21" s="106" t="s">
        <v>63</v>
      </c>
      <c r="G21" s="101"/>
      <c r="H21" s="101"/>
      <c r="I21" s="101"/>
      <c r="J21" s="81"/>
      <c r="K21" s="81"/>
      <c r="L21" s="81"/>
      <c r="M21" s="81"/>
    </row>
    <row r="22" spans="1:20" s="6" customFormat="1" ht="16.5" x14ac:dyDescent="0.3">
      <c r="A22" s="104"/>
      <c r="B22" s="101"/>
      <c r="C22" s="101" t="s">
        <v>61</v>
      </c>
      <c r="D22" s="101"/>
      <c r="E22" s="105"/>
      <c r="F22" s="107" t="s">
        <v>62</v>
      </c>
      <c r="G22" s="107">
        <v>394</v>
      </c>
      <c r="H22" s="101"/>
      <c r="I22" s="101"/>
      <c r="J22" s="81"/>
      <c r="K22" s="81"/>
      <c r="L22" s="81"/>
      <c r="M22" s="81"/>
    </row>
    <row r="23" spans="1:20" s="6" customFormat="1" x14ac:dyDescent="0.25">
      <c r="A23" s="104"/>
      <c r="B23" s="101"/>
      <c r="C23" s="101" t="s">
        <v>1</v>
      </c>
      <c r="D23" s="101">
        <v>7100000</v>
      </c>
      <c r="E23" s="101"/>
      <c r="F23" s="107" t="s">
        <v>58</v>
      </c>
      <c r="G23" s="107">
        <v>0</v>
      </c>
      <c r="H23" s="101"/>
      <c r="I23" s="101"/>
      <c r="J23" s="81"/>
      <c r="K23" s="81"/>
      <c r="L23" s="81"/>
      <c r="M23" s="81"/>
    </row>
    <row r="24" spans="1:20" s="6" customFormat="1" x14ac:dyDescent="0.25">
      <c r="B24" s="82"/>
      <c r="C24" s="82"/>
      <c r="D24" s="82"/>
      <c r="E24" s="82"/>
      <c r="F24" s="83" t="s">
        <v>64</v>
      </c>
      <c r="G24" s="83">
        <v>0</v>
      </c>
      <c r="H24" s="82"/>
      <c r="I24" s="81"/>
      <c r="J24" s="81"/>
      <c r="K24" s="81"/>
      <c r="L24" s="81"/>
      <c r="M24" s="81"/>
    </row>
    <row r="25" spans="1:20" s="6" customFormat="1" x14ac:dyDescent="0.25">
      <c r="B25" s="82"/>
      <c r="C25" s="82"/>
      <c r="D25" s="82"/>
      <c r="E25" s="82"/>
      <c r="F25" s="84" t="s">
        <v>65</v>
      </c>
      <c r="G25" s="84">
        <f>G22+G23+G24</f>
        <v>394</v>
      </c>
      <c r="H25" s="82"/>
      <c r="I25" s="81"/>
      <c r="J25" s="81"/>
      <c r="K25" s="81"/>
      <c r="L25" s="81"/>
      <c r="M25" s="81"/>
    </row>
    <row r="26" spans="1:20" s="6" customFormat="1" x14ac:dyDescent="0.25">
      <c r="B26" s="82"/>
      <c r="C26" s="82"/>
      <c r="D26" s="82"/>
      <c r="E26" s="82"/>
      <c r="F26" s="83"/>
      <c r="G26" s="83"/>
      <c r="H26" s="82"/>
      <c r="I26" s="81"/>
      <c r="J26" s="81"/>
      <c r="K26" s="81"/>
      <c r="L26" s="81"/>
      <c r="M26" s="81"/>
    </row>
    <row r="27" spans="1:20" s="6" customFormat="1" x14ac:dyDescent="0.25">
      <c r="B27" s="82"/>
      <c r="C27" s="82"/>
      <c r="D27" s="82"/>
      <c r="E27" s="82"/>
      <c r="F27" s="83" t="s">
        <v>57</v>
      </c>
      <c r="G27" s="83">
        <v>0</v>
      </c>
      <c r="H27" s="82"/>
      <c r="I27" s="81"/>
      <c r="J27" s="81"/>
      <c r="K27" s="81"/>
      <c r="L27" s="81"/>
      <c r="M27" s="81"/>
    </row>
    <row r="28" spans="1:20" s="6" customFormat="1" x14ac:dyDescent="0.25">
      <c r="B28" s="82"/>
      <c r="C28" s="82"/>
      <c r="D28" s="82"/>
      <c r="E28" s="82"/>
      <c r="F28" s="83" t="s">
        <v>58</v>
      </c>
      <c r="G28" s="83">
        <v>0</v>
      </c>
      <c r="H28" s="82"/>
      <c r="I28" s="81"/>
      <c r="J28" s="81"/>
      <c r="K28" s="81"/>
      <c r="L28" s="81"/>
      <c r="M28" s="81"/>
    </row>
    <row r="29" spans="1:20" s="6" customFormat="1" x14ac:dyDescent="0.25">
      <c r="B29" s="82"/>
      <c r="C29" s="82"/>
      <c r="D29" s="82"/>
      <c r="E29" s="82"/>
      <c r="F29" s="83" t="s">
        <v>56</v>
      </c>
      <c r="G29" s="83">
        <v>0</v>
      </c>
      <c r="H29" s="82"/>
      <c r="I29" s="81"/>
      <c r="J29" s="81"/>
      <c r="K29" s="81"/>
      <c r="L29" s="81"/>
      <c r="M29" s="81"/>
    </row>
    <row r="30" spans="1:20" s="6" customFormat="1" x14ac:dyDescent="0.25">
      <c r="B30" s="82"/>
      <c r="C30" s="85"/>
      <c r="D30" s="85"/>
      <c r="E30" s="82"/>
      <c r="F30" s="84" t="s">
        <v>59</v>
      </c>
      <c r="G30" s="84">
        <f>SUM(G27:G29)</f>
        <v>0</v>
      </c>
      <c r="H30" s="82"/>
      <c r="I30" s="81"/>
      <c r="J30" s="81"/>
      <c r="K30" s="81"/>
      <c r="L30" s="81"/>
      <c r="M30" s="81"/>
      <c r="P30" s="37"/>
      <c r="Q30" s="37"/>
      <c r="R30" s="37"/>
    </row>
    <row r="31" spans="1:20" s="6" customFormat="1" x14ac:dyDescent="0.25">
      <c r="B31" s="82"/>
      <c r="C31" s="85"/>
      <c r="D31" s="85"/>
      <c r="E31" s="82"/>
      <c r="F31" s="84" t="s">
        <v>60</v>
      </c>
      <c r="G31" s="83">
        <f>G30</f>
        <v>0</v>
      </c>
      <c r="H31" s="82" t="e">
        <f>G30/G31</f>
        <v>#DIV/0!</v>
      </c>
      <c r="I31" s="81"/>
      <c r="J31" s="81"/>
      <c r="K31" s="81"/>
      <c r="L31" s="81"/>
      <c r="M31" s="81"/>
    </row>
    <row r="32" spans="1:20" s="6" customFormat="1" x14ac:dyDescent="0.25">
      <c r="B32" s="82"/>
      <c r="C32" s="85"/>
      <c r="D32" s="85"/>
      <c r="E32" s="82"/>
      <c r="F32" s="83" t="s">
        <v>39</v>
      </c>
      <c r="G32" s="83">
        <v>10000</v>
      </c>
      <c r="H32" s="82"/>
      <c r="I32" s="81"/>
      <c r="J32" s="81"/>
      <c r="K32" s="81"/>
      <c r="L32" s="81"/>
      <c r="M32" s="81"/>
    </row>
    <row r="33" spans="2:21" s="6" customFormat="1" x14ac:dyDescent="0.25">
      <c r="B33" s="82"/>
      <c r="C33" s="85"/>
      <c r="D33" s="85"/>
      <c r="E33" s="82"/>
      <c r="F33" s="84" t="s">
        <v>40</v>
      </c>
      <c r="G33" s="84">
        <f>G25*G32</f>
        <v>3940000</v>
      </c>
      <c r="H33" s="82" t="e">
        <f>G33/D27</f>
        <v>#DIV/0!</v>
      </c>
      <c r="I33" s="81"/>
      <c r="J33" s="81"/>
      <c r="K33" s="81"/>
      <c r="L33" s="81"/>
      <c r="M33" s="81"/>
    </row>
    <row r="34" spans="2:21" s="6" customFormat="1" x14ac:dyDescent="0.25">
      <c r="B34" s="82"/>
      <c r="C34" s="85"/>
      <c r="D34" s="85"/>
      <c r="E34" s="82"/>
      <c r="F34" s="84" t="s">
        <v>18</v>
      </c>
      <c r="G34" s="84">
        <f>G33*90%</f>
        <v>3546000</v>
      </c>
      <c r="H34" s="82"/>
      <c r="I34" s="81"/>
      <c r="J34" s="81"/>
      <c r="K34" s="81"/>
      <c r="L34" s="81"/>
      <c r="M34" s="81"/>
    </row>
    <row r="35" spans="2:21" s="6" customFormat="1" x14ac:dyDescent="0.25">
      <c r="B35" s="82"/>
      <c r="C35" s="85"/>
      <c r="D35" s="85"/>
      <c r="E35" s="82"/>
      <c r="F35" s="84" t="s">
        <v>19</v>
      </c>
      <c r="G35" s="84">
        <f>G33*80%</f>
        <v>3152000</v>
      </c>
      <c r="H35" s="82"/>
      <c r="I35" s="81"/>
      <c r="J35" s="81"/>
      <c r="K35" s="81"/>
      <c r="L35" s="81"/>
      <c r="M35" s="81"/>
    </row>
    <row r="36" spans="2:21" x14ac:dyDescent="0.25">
      <c r="B36" s="85"/>
      <c r="C36" s="85"/>
      <c r="D36" s="85"/>
      <c r="E36" s="85"/>
      <c r="F36" s="85"/>
      <c r="G36" s="85"/>
      <c r="H36" s="85"/>
    </row>
    <row r="37" spans="2:21" x14ac:dyDescent="0.25">
      <c r="B37" s="85"/>
      <c r="C37" s="85"/>
      <c r="D37" s="85"/>
      <c r="E37" s="85"/>
      <c r="F37" s="85"/>
      <c r="G37" s="85"/>
      <c r="H37" s="85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5"/>
      <c r="C38" s="85"/>
      <c r="D38" s="85"/>
      <c r="E38" s="85"/>
      <c r="F38" s="85"/>
      <c r="G38" s="85"/>
      <c r="H38" s="85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5"/>
      <c r="C39" s="85"/>
      <c r="D39" s="85"/>
      <c r="E39" s="85"/>
      <c r="F39" s="85"/>
      <c r="G39" s="85"/>
      <c r="H39" s="85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5"/>
      <c r="C40" s="85"/>
      <c r="D40" s="85"/>
      <c r="E40" s="85"/>
      <c r="F40" s="85"/>
      <c r="G40" s="85"/>
      <c r="H40" s="85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5"/>
      <c r="C41" s="85"/>
      <c r="D41" s="85"/>
      <c r="E41" s="85"/>
      <c r="F41" s="85"/>
      <c r="G41" s="85"/>
      <c r="H41" s="85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5"/>
      <c r="C42" s="85"/>
      <c r="D42" s="85"/>
      <c r="E42" s="85"/>
      <c r="F42" s="85"/>
      <c r="G42" s="85"/>
      <c r="H42" s="85"/>
      <c r="N42" s="6"/>
      <c r="O42" s="6"/>
      <c r="P42" s="37"/>
      <c r="Q42" s="37"/>
      <c r="R42" s="37"/>
      <c r="S42" s="6"/>
      <c r="T42" s="6"/>
      <c r="U42" s="6"/>
    </row>
    <row r="43" spans="2:21" x14ac:dyDescent="0.25">
      <c r="B43" s="85"/>
      <c r="C43" s="85"/>
      <c r="D43" s="85"/>
      <c r="E43" s="85"/>
      <c r="F43" s="85"/>
      <c r="G43" s="85"/>
      <c r="H43" s="85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5"/>
      <c r="C44" s="85"/>
      <c r="D44" s="85"/>
      <c r="E44" s="85"/>
      <c r="F44" s="85"/>
      <c r="G44" s="85"/>
      <c r="H44" s="85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6"/>
      <c r="P52" s="37"/>
      <c r="Q52" s="37"/>
      <c r="R52" s="37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6" workbookViewId="0">
      <selection activeCell="A10" sqref="A10"/>
    </sheetView>
  </sheetViews>
  <sheetFormatPr defaultRowHeight="15" x14ac:dyDescent="0.25"/>
  <sheetData>
    <row r="117" spans="6:13" x14ac:dyDescent="0.25">
      <c r="F117" s="126" t="s">
        <v>54</v>
      </c>
      <c r="G117" s="126"/>
      <c r="H117" s="126"/>
      <c r="I117" s="126"/>
      <c r="J117" s="126"/>
      <c r="K117" s="126"/>
      <c r="L117" s="126"/>
      <c r="M117" s="12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8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S119:U159"/>
  <sheetViews>
    <sheetView topLeftCell="A76" workbookViewId="0">
      <selection activeCell="U159" sqref="U159"/>
    </sheetView>
  </sheetViews>
  <sheetFormatPr defaultRowHeight="15" x14ac:dyDescent="0.25"/>
  <sheetData>
    <row r="119" spans="19:20" x14ac:dyDescent="0.25">
      <c r="S119" t="s">
        <v>77</v>
      </c>
      <c r="T119">
        <v>14</v>
      </c>
    </row>
    <row r="151" spans="20:21" x14ac:dyDescent="0.25">
      <c r="T151" t="s">
        <v>77</v>
      </c>
      <c r="U151">
        <v>30</v>
      </c>
    </row>
    <row r="158" spans="20:21" x14ac:dyDescent="0.25">
      <c r="U158">
        <v>31.58</v>
      </c>
    </row>
    <row r="159" spans="20:21" x14ac:dyDescent="0.25">
      <c r="U159">
        <f>U158*10.764</f>
        <v>339.92711999999995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2024-11-18T06:55:50Z</dcterms:modified>
</cp:coreProperties>
</file>