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Winbuild Metals Pvt Ltd\"/>
    </mc:Choice>
  </mc:AlternateContent>
  <xr:revisionPtr revIDLastSave="0" documentId="13_ncr:1_{2E25BCEC-4829-4F76-90F9-CFF074501DCB}" xr6:coauthVersionLast="45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Valuation " sheetId="4" r:id="rId1"/>
    <sheet name="Sheet1" sheetId="5" r:id="rId2"/>
    <sheet name="Calculation" sheetId="11" r:id="rId3"/>
    <sheet name="Sheet3" sheetId="7" r:id="rId4"/>
    <sheet name="Sheet4" sheetId="12" r:id="rId5"/>
    <sheet name="Sheet5" sheetId="13" r:id="rId6"/>
    <sheet name="Sheet6" sheetId="14" r:id="rId7"/>
    <sheet name="Sheet7" sheetId="15" r:id="rId8"/>
  </sheets>
  <calcPr calcId="191029"/>
</workbook>
</file>

<file path=xl/calcChain.xml><?xml version="1.0" encoding="utf-8"?>
<calcChain xmlns="http://schemas.openxmlformats.org/spreadsheetml/2006/main">
  <c r="D23" i="11" l="1"/>
  <c r="G4" i="15"/>
  <c r="G3" i="15"/>
  <c r="F2" i="14"/>
  <c r="T3" i="13"/>
  <c r="F4" i="13"/>
  <c r="Q3" i="12"/>
  <c r="E3" i="12"/>
  <c r="D28" i="11" l="1"/>
  <c r="D9" i="11"/>
  <c r="D12" i="11" s="1"/>
  <c r="D13" i="11" s="1"/>
  <c r="D8" i="11"/>
  <c r="D7" i="11"/>
  <c r="D16" i="11" s="1"/>
  <c r="J60" i="4"/>
  <c r="D10" i="11" l="1"/>
  <c r="D14" i="11"/>
  <c r="D15" i="11" s="1"/>
  <c r="G54" i="4"/>
  <c r="J57" i="4"/>
  <c r="D18" i="11" l="1"/>
  <c r="D21" i="11" s="1"/>
  <c r="D25" i="11" s="1"/>
  <c r="I53" i="4"/>
  <c r="I55" i="4" s="1"/>
  <c r="G50" i="4" s="1"/>
  <c r="D17" i="4"/>
  <c r="I50" i="4"/>
  <c r="J50" i="4" s="1"/>
  <c r="U7" i="7"/>
  <c r="U8" i="7" s="1"/>
  <c r="K3" i="7"/>
  <c r="K4" i="7" s="1"/>
  <c r="D26" i="11" l="1"/>
  <c r="D30" i="11"/>
  <c r="D27" i="11"/>
  <c r="G37" i="4"/>
  <c r="G38" i="4" s="1"/>
  <c r="G36" i="4"/>
  <c r="G35" i="4"/>
  <c r="G44" i="4" s="1"/>
  <c r="G46" i="4" s="1"/>
  <c r="G40" i="4" l="1"/>
  <c r="G41" i="4" s="1"/>
  <c r="G42" i="4" s="1"/>
  <c r="G43" i="4" s="1"/>
  <c r="G49" i="4" s="1"/>
  <c r="G51" i="4" l="1"/>
  <c r="G56" i="4" s="1"/>
  <c r="G53" i="4" l="1"/>
  <c r="G52" i="4"/>
  <c r="C24" i="4"/>
  <c r="O12" i="4"/>
  <c r="H12" i="4"/>
  <c r="J12" i="4" s="1"/>
  <c r="K12" i="4" s="1"/>
  <c r="L12" i="4" s="1"/>
  <c r="N12" i="4" s="1"/>
  <c r="M12" i="4" s="1"/>
  <c r="I12" i="4" l="1"/>
  <c r="C16" i="4"/>
  <c r="O11" i="4"/>
  <c r="H11" i="4"/>
  <c r="J11" i="4" s="1"/>
  <c r="K11" i="4" s="1"/>
  <c r="L11" i="4" s="1"/>
  <c r="N11" i="4" s="1"/>
  <c r="O15" i="4"/>
  <c r="H15" i="4"/>
  <c r="J15" i="4" s="1"/>
  <c r="K15" i="4" s="1"/>
  <c r="L15" i="4" s="1"/>
  <c r="N15" i="4" s="1"/>
  <c r="O14" i="4"/>
  <c r="H14" i="4"/>
  <c r="J14" i="4" s="1"/>
  <c r="K14" i="4" s="1"/>
  <c r="L14" i="4" s="1"/>
  <c r="N14" i="4" s="1"/>
  <c r="M11" i="4" l="1"/>
  <c r="I11" i="4"/>
  <c r="M14" i="4"/>
  <c r="M15" i="4"/>
  <c r="I14" i="4"/>
  <c r="I15" i="4"/>
  <c r="N15" i="5"/>
  <c r="N14" i="5"/>
  <c r="O13" i="4" l="1"/>
  <c r="O16" i="4" s="1"/>
  <c r="H13" i="4"/>
  <c r="J13" i="4" s="1"/>
  <c r="K13" i="4" s="1"/>
  <c r="L13" i="4" s="1"/>
  <c r="N13" i="4" s="1"/>
  <c r="N16" i="4" s="1"/>
  <c r="M13" i="4" l="1"/>
  <c r="M16" i="4" s="1"/>
  <c r="I13" i="4"/>
  <c r="C6" i="4" l="1"/>
  <c r="K16" i="4" l="1"/>
  <c r="L16" i="4" s="1"/>
  <c r="C30" i="4" l="1"/>
  <c r="C117" i="4" l="1"/>
  <c r="B86" i="4" l="1"/>
  <c r="B87" i="4" s="1"/>
  <c r="C29" i="4" l="1"/>
  <c r="C26" i="4"/>
  <c r="C34" i="4" l="1"/>
  <c r="C35" i="4" s="1"/>
  <c r="C33" i="4"/>
  <c r="C21" i="4"/>
  <c r="C36" i="4" l="1"/>
</calcChain>
</file>

<file path=xl/sharedStrings.xml><?xml version="1.0" encoding="utf-8"?>
<sst xmlns="http://schemas.openxmlformats.org/spreadsheetml/2006/main" count="112" uniqueCount="78">
  <si>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</si>
  <si>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</si>
  <si>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</si>
  <si>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</si>
  <si>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</si>
  <si>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</si>
  <si>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</si>
  <si>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</si>
  <si>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</si>
  <si>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</si>
  <si>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</si>
  <si>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</si>
  <si>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</si>
  <si>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</si>
  <si>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</si>
  <si>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</si>
  <si>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</si>
  <si>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</si>
  <si>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</si>
  <si>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</si>
  <si>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</si>
  <si>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</si>
  <si>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</si>
  <si>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</si>
  <si>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</si>
  <si>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</si>
  <si>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</si>
  <si>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</si>
  <si>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</si>
  <si>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Age Of Build. In Years(approx)</t>
  </si>
  <si>
    <t>Sq.M</t>
  </si>
  <si>
    <t>Total BUA</t>
  </si>
  <si>
    <t>Structure Value (as per approved plan)</t>
  </si>
  <si>
    <t xml:space="preserve"> </t>
  </si>
  <si>
    <t>Per Sq.M</t>
  </si>
  <si>
    <t>(Sq. M)</t>
  </si>
  <si>
    <t>Per Sq.Ft</t>
  </si>
  <si>
    <t>Structure Value (Existing)</t>
  </si>
  <si>
    <t xml:space="preserve">Land area under Road widening </t>
  </si>
  <si>
    <t xml:space="preserve">Total Land Area </t>
  </si>
  <si>
    <t>Plinth Area /Ground Floor</t>
  </si>
  <si>
    <t>First Floor</t>
  </si>
  <si>
    <t xml:space="preserve">second Floor </t>
  </si>
  <si>
    <r>
      <t xml:space="preserve">Basement Floor </t>
    </r>
    <r>
      <rPr>
        <sz val="11"/>
        <color rgb="FFFF0000"/>
        <rFont val="Arial Narrow"/>
        <family val="2"/>
      </rPr>
      <t>(Free of FSI)</t>
    </r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</si>
  <si>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</si>
  <si>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</si>
  <si>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</si>
  <si>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</si>
  <si>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</si>
  <si>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</si>
  <si>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</si>
  <si>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</si>
  <si>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(100-10)X24/60</t>
  </si>
  <si>
    <t>Depreciation Amt</t>
  </si>
  <si>
    <t>Depreciated Bldg. Rate</t>
  </si>
  <si>
    <t xml:space="preserve">Total Composite </t>
  </si>
  <si>
    <t>sq.ft</t>
  </si>
  <si>
    <t>Fair Market Value</t>
  </si>
  <si>
    <t>TOTAL FMV</t>
  </si>
  <si>
    <t>RV</t>
  </si>
  <si>
    <t>DV</t>
  </si>
  <si>
    <t>IV</t>
  </si>
  <si>
    <t>RR Value</t>
  </si>
  <si>
    <t>Rental Value</t>
  </si>
  <si>
    <t>1368.65 SQ.M</t>
  </si>
  <si>
    <t>BUA  Area (Entire)</t>
  </si>
  <si>
    <t xml:space="preserve">on carpet </t>
  </si>
  <si>
    <t>on BUA</t>
  </si>
  <si>
    <t>as per plan</t>
  </si>
  <si>
    <t xml:space="preserve">basement </t>
  </si>
  <si>
    <t>BUA  Area (Ground + 2nd floor)</t>
  </si>
  <si>
    <t>Fair Market Value(A)</t>
  </si>
  <si>
    <t>Basement value (B)</t>
  </si>
  <si>
    <t>TOTAL FMV( A + B)</t>
  </si>
  <si>
    <t>on carpet</t>
  </si>
  <si>
    <t>70% rate of Ground floor</t>
  </si>
  <si>
    <t>ON bua</t>
  </si>
  <si>
    <t>Basement Value( 1995 Sq.Ft  * Rs.15000)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</si>
</sst>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u/>
      <sz val="11"/>
      <color rgb="FFFF0000"/>
      <name val="Arial Narrow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5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horizontal="right"/>
    </xf>
    <xf numFmtId="0" fontId="16" fillId="0" borderId="0" xfId="0" applyFont="1"/>
    <xf numFmtId="4" fontId="8" fillId="0" borderId="0" xfId="0" applyNumberFormat="1" applyFont="1" applyAlignment="1">
      <alignment vertical="top"/>
    </xf>
    <xf numFmtId="0" fontId="0" fillId="2" borderId="0" xfId="0" applyFill="1"/>
    <xf numFmtId="164" fontId="1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 wrapText="1"/>
    </xf>
    <xf numFmtId="43" fontId="6" fillId="0" borderId="1" xfId="1" applyFont="1" applyBorder="1"/>
    <xf numFmtId="4" fontId="7" fillId="0" borderId="0" xfId="0" applyNumberFormat="1" applyFont="1" applyAlignment="1">
      <alignment horizontal="right" vertical="top"/>
    </xf>
    <xf numFmtId="2" fontId="7" fillId="0" borderId="1" xfId="1" applyNumberFormat="1" applyFont="1" applyBorder="1" applyAlignment="1">
      <alignment vertical="center" wrapText="1"/>
    </xf>
    <xf numFmtId="0" fontId="0" fillId="0" borderId="0" xfId="0" applyFill="1"/>
    <xf numFmtId="4" fontId="14" fillId="0" borderId="5" xfId="0" applyNumberFormat="1" applyFont="1" applyBorder="1"/>
    <xf numFmtId="0" fontId="18" fillId="0" borderId="6" xfId="0" applyFont="1" applyBorder="1"/>
    <xf numFmtId="43" fontId="18" fillId="0" borderId="7" xfId="1" applyFont="1" applyFill="1" applyBorder="1"/>
    <xf numFmtId="2" fontId="19" fillId="0" borderId="7" xfId="1" applyNumberFormat="1" applyFont="1" applyFill="1" applyBorder="1"/>
    <xf numFmtId="43" fontId="19" fillId="3" borderId="8" xfId="1" applyFont="1" applyFill="1" applyBorder="1"/>
    <xf numFmtId="2" fontId="19" fillId="0" borderId="0" xfId="1" applyNumberFormat="1" applyFont="1" applyFill="1" applyBorder="1"/>
    <xf numFmtId="43" fontId="19" fillId="0" borderId="10" xfId="1" applyFont="1" applyFill="1" applyBorder="1"/>
    <xf numFmtId="0" fontId="18" fillId="0" borderId="9" xfId="0" applyFont="1" applyBorder="1"/>
    <xf numFmtId="43" fontId="18" fillId="0" borderId="0" xfId="1" applyFont="1" applyFill="1" applyBorder="1"/>
    <xf numFmtId="0" fontId="18" fillId="0" borderId="0" xfId="0" applyFont="1"/>
    <xf numFmtId="2" fontId="19" fillId="0" borderId="0" xfId="0" applyNumberFormat="1" applyFont="1"/>
    <xf numFmtId="0" fontId="19" fillId="0" borderId="10" xfId="0" applyFont="1" applyBorder="1"/>
    <xf numFmtId="0" fontId="19" fillId="3" borderId="10" xfId="0" applyFont="1" applyFill="1" applyBorder="1"/>
    <xf numFmtId="0" fontId="18" fillId="0" borderId="9" xfId="0" applyFont="1" applyBorder="1" applyAlignment="1">
      <alignment wrapText="1"/>
    </xf>
    <xf numFmtId="9" fontId="18" fillId="0" borderId="0" xfId="0" applyNumberFormat="1" applyFont="1"/>
    <xf numFmtId="10" fontId="19" fillId="0" borderId="10" xfId="0" applyNumberFormat="1" applyFont="1" applyBorder="1"/>
    <xf numFmtId="0" fontId="21" fillId="0" borderId="0" xfId="0" applyFont="1"/>
    <xf numFmtId="0" fontId="21" fillId="0" borderId="9" xfId="0" applyFont="1" applyBorder="1"/>
    <xf numFmtId="43" fontId="19" fillId="0" borderId="0" xfId="1" applyFont="1" applyBorder="1"/>
    <xf numFmtId="0" fontId="22" fillId="0" borderId="10" xfId="0" applyFont="1" applyBorder="1"/>
    <xf numFmtId="0" fontId="14" fillId="0" borderId="9" xfId="0" applyFont="1" applyBorder="1"/>
    <xf numFmtId="0" fontId="14" fillId="0" borderId="0" xfId="0" applyFont="1"/>
    <xf numFmtId="43" fontId="19" fillId="0" borderId="0" xfId="1" applyFont="1" applyFill="1" applyBorder="1"/>
    <xf numFmtId="43" fontId="23" fillId="0" borderId="10" xfId="0" applyNumberFormat="1" applyFont="1" applyBorder="1"/>
    <xf numFmtId="0" fontId="23" fillId="0" borderId="10" xfId="0" applyFont="1" applyBorder="1"/>
    <xf numFmtId="2" fontId="23" fillId="0" borderId="0" xfId="0" applyNumberFormat="1" applyFont="1"/>
    <xf numFmtId="0" fontId="24" fillId="3" borderId="9" xfId="0" applyFont="1" applyFill="1" applyBorder="1"/>
    <xf numFmtId="0" fontId="24" fillId="3" borderId="0" xfId="0" applyFont="1" applyFill="1"/>
    <xf numFmtId="2" fontId="24" fillId="3" borderId="0" xfId="0" applyNumberFormat="1" applyFont="1" applyFill="1"/>
    <xf numFmtId="0" fontId="24" fillId="3" borderId="10" xfId="0" applyFont="1" applyFill="1" applyBorder="1"/>
    <xf numFmtId="0" fontId="0" fillId="0" borderId="11" xfId="0" applyBorder="1"/>
    <xf numFmtId="0" fontId="0" fillId="0" borderId="12" xfId="0" applyBorder="1"/>
    <xf numFmtId="2" fontId="0" fillId="0" borderId="12" xfId="0" applyNumberFormat="1" applyBorder="1"/>
    <xf numFmtId="0" fontId="0" fillId="0" borderId="13" xfId="0" applyBorder="1"/>
    <xf numFmtId="0" fontId="6" fillId="0" borderId="3" xfId="0" applyFont="1" applyBorder="1" applyAlignment="1">
      <alignment horizontal="left" vertical="center" wrapText="1"/>
    </xf>
    <xf numFmtId="0" fontId="17" fillId="0" borderId="0" xfId="3" applyAlignment="1">
      <alignment horizontal="left" wrapText="1"/>
    </xf>
    <xf numFmtId="0" fontId="2" fillId="0" borderId="0" xfId="0" applyFont="1" applyAlignment="1">
      <alignment horizontal="left" wrapText="1"/>
    </xf>
    <xf numFmtId="0" fontId="18" fillId="0" borderId="9" xfId="0" applyFont="1" applyBorder="1" applyAlignment="1">
      <alignment horizontal="left" wrapText="1"/>
    </xf>
    <xf numFmtId="0" fontId="18" fillId="0" borderId="0" xfId="0" applyFont="1" applyAlignment="1">
      <alignment horizontal="left" wrapText="1"/>
    </xf>
    <xf numFmtId="0" fontId="20" fillId="0" borderId="9" xfId="0" applyFont="1" applyBorder="1" applyAlignment="1">
      <alignment horizontal="left" wrapText="1"/>
    </xf>
    <xf numFmtId="0" fontId="20" fillId="0" borderId="0" xfId="0" applyFont="1" applyBorder="1" applyAlignment="1">
      <alignment horizontal="left" wrapText="1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</cellXfs>
  <cellStyles count="4">
    <cellStyle name="Comma" xfId="1" builtinId="3"/>
    <cellStyle name="Comma 2" xfId="2" xr:uid="{E48405D6-DCCB-4ACA-ACCF-04B30786A290}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33770</xdr:colOff>
      <xdr:row>0</xdr:row>
      <xdr:rowOff>54552</xdr:rowOff>
    </xdr:from>
    <xdr:to>
      <xdr:col>11</xdr:col>
      <xdr:colOff>594086</xdr:colOff>
      <xdr:row>2</xdr:row>
      <xdr:rowOff>447675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67C08A-7492-475F-99A7-17AAA2A7A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445" y="54552"/>
          <a:ext cx="10571091" cy="9836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216477</xdr:colOff>
      <xdr:row>17</xdr:row>
      <xdr:rowOff>166254</xdr:rowOff>
    </xdr:from>
    <xdr:to>
      <xdr:col>11</xdr:col>
      <xdr:colOff>223649</xdr:colOff>
      <xdr:row>29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9D8751-B934-433A-88B6-4B7C98DC3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97952" y="4928754"/>
          <a:ext cx="6284147" cy="239597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419100</xdr:colOff>
      <xdr:row>17</xdr:row>
      <xdr:rowOff>160631</xdr:rowOff>
    </xdr:from>
    <xdr:to>
      <xdr:col>16</xdr:col>
      <xdr:colOff>47684</xdr:colOff>
      <xdr:row>39</xdr:row>
      <xdr:rowOff>228600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EEA6AA-EAA2-4FCB-BFC7-E1F7C4A3E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29925" y="4923131"/>
          <a:ext cx="5324534" cy="468759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390525</xdr:colOff>
      <xdr:row>39</xdr:row>
      <xdr:rowOff>441143</xdr:rowOff>
    </xdr:from>
    <xdr:to>
      <xdr:col>16</xdr:col>
      <xdr:colOff>628651</xdr:colOff>
      <xdr:row>53</xdr:row>
      <xdr:rowOff>171449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1B55C2-F63B-40D3-99AB-F27B0073C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01350" y="9823268"/>
          <a:ext cx="5934076" cy="3435531"/>
        </a:xfrm>
        <a:prstGeom prst="rect">
          <a:avLst/>
        </a:prstGeom>
      </xdr:spPr>
    </xdr:pic>
    <xdr:clientData/>
  </xdr:twoCellAnchor>
  <xdr:twoCellAnchor editAs="oneCell">
    <xdr:from>
      <xdr:col>11</xdr:col>
      <xdr:colOff>828674</xdr:colOff>
      <xdr:row>0</xdr:row>
      <xdr:rowOff>1</xdr:rowOff>
    </xdr:from>
    <xdr:to>
      <xdr:col>16</xdr:col>
      <xdr:colOff>10459</xdr:colOff>
      <xdr:row>7</xdr:row>
      <xdr:rowOff>28576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614938-28B8-47E7-8C48-A6A7FF03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39499" y="1"/>
          <a:ext cx="4877735" cy="2190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161925</xdr:rowOff>
    </xdr:from>
    <xdr:to>
      <xdr:col>12</xdr:col>
      <xdr:colOff>467705</xdr:colOff>
      <xdr:row>43</xdr:row>
      <xdr:rowOff>67805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857D3B-747D-4F30-9C88-DA817F3B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61925"/>
          <a:ext cx="7020905" cy="8097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227635</xdr:colOff>
      <xdr:row>0</xdr:row>
      <xdr:rowOff>79375</xdr:rowOff>
    </xdr:from>
    <xdr:to>
      <xdr:col>9</xdr:col>
      <xdr:colOff>188305</xdr:colOff>
      <xdr:row>33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1E4C76-E9CC-468C-8274-7A86A6BD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35" y="79375"/>
          <a:ext cx="5447070" cy="62193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360441</xdr:colOff>
      <xdr:row>4</xdr:row>
      <xdr:rowOff>182562</xdr:rowOff>
    </xdr:from>
    <xdr:to>
      <xdr:col>19</xdr:col>
      <xdr:colOff>254971</xdr:colOff>
      <xdr:row>38</xdr:row>
      <xdr:rowOff>31275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C18FCF-EA4A-45C2-B7F3-8221980A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56441" y="944562"/>
          <a:ext cx="5504755" cy="632571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4</xdr:row>
      <xdr:rowOff>3928</xdr:rowOff>
    </xdr:from>
    <xdr:to>
      <xdr:col>9</xdr:col>
      <xdr:colOff>552450</xdr:colOff>
      <xdr:row>35</xdr:row>
      <xdr:rowOff>96302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EC283-B85E-425B-9359-9FE8E4161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765928"/>
          <a:ext cx="5800725" cy="599787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3</xdr:row>
      <xdr:rowOff>123825</xdr:rowOff>
    </xdr:from>
    <xdr:to>
      <xdr:col>22</xdr:col>
      <xdr:colOff>162947</xdr:colOff>
      <xdr:row>35</xdr:row>
      <xdr:rowOff>153255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336E54-1CF0-4A87-ABBD-5051565E7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48400" y="695325"/>
          <a:ext cx="7325747" cy="6125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142875</xdr:rowOff>
    </xdr:from>
    <xdr:to>
      <xdr:col>15</xdr:col>
      <xdr:colOff>58393</xdr:colOff>
      <xdr:row>37</xdr:row>
      <xdr:rowOff>29436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B51F0-9C56-4AE7-82DD-51A4B4A5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904875"/>
          <a:ext cx="8907118" cy="617306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30</xdr:col>
      <xdr:colOff>410823</xdr:colOff>
      <xdr:row>37</xdr:row>
      <xdr:rowOff>105640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7026E9-4159-471A-A3B5-55B5A66DE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952500"/>
          <a:ext cx="8945223" cy="62016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353665</xdr:colOff>
      <xdr:row>36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245AC6-2BBE-44B1-91C4-87DEAD875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8888065" cy="6430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4</xdr:row>
      <xdr:rowOff>171450</xdr:rowOff>
    </xdr:from>
    <xdr:to>
      <xdr:col>13</xdr:col>
      <xdr:colOff>182001</xdr:colOff>
      <xdr:row>45</xdr:row>
      <xdr:rowOff>10593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07FBA-8139-49D0-B210-67CD878E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933450"/>
          <a:ext cx="7354326" cy="7649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4"/>
  <sheetViews>
    <sheetView zoomScaleNormal="100" workbookViewId="0">
      <pane xSplit="3" ySplit="9" topLeftCell="D31" activePane="bottomRight" state="frozen"/>
      <selection pane="topRight" activeCell="C1" sqref="C1"/>
      <selection pane="bottomLeft" activeCell="A7" sqref="A7"/>
      <selection pane="bottomRight" activeCell="J39" sqref="J39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19" style="61" customWidth="1"/>
    <col min="4" max="4" width="8.7109375" style="1" customWidth="1"/>
    <col min="5" max="5" width="9.42578125" style="1" customWidth="1"/>
    <col min="6" max="6" width="15.5703125" style="1" customWidth="1"/>
    <col min="7" max="7" width="19.28515625" style="4" customWidth="1"/>
    <col min="8" max="8" width="14.710937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ht="29.25" customHeight="1" x14ac:dyDescent="0.3">
      <c r="B1" s="118"/>
      <c r="C1" s="119"/>
      <c r="D1" s="119"/>
      <c r="E1" s="119"/>
      <c r="F1" s="119"/>
      <c r="G1" s="119"/>
      <c r="H1" s="65"/>
      <c r="I1" s="1"/>
      <c r="J1" s="1"/>
      <c r="L1" s="1"/>
    </row>
    <row r="2" spans="2:16" ht="17.25" customHeight="1" x14ac:dyDescent="0.3">
      <c r="B2" s="65"/>
      <c r="C2" s="65"/>
      <c r="D2" s="65"/>
      <c r="E2" s="65"/>
      <c r="F2" s="65"/>
      <c r="G2" s="65"/>
      <c r="H2" s="65"/>
      <c r="I2" s="1"/>
      <c r="J2" s="1"/>
      <c r="L2" s="1"/>
    </row>
    <row r="3" spans="2:16" ht="59.25" customHeight="1" x14ac:dyDescent="0.3">
      <c r="B3" s="6" t="s">
        <v>11</v>
      </c>
      <c r="C3" s="52"/>
    </row>
    <row r="4" spans="2:16" ht="17.25" thickBot="1" x14ac:dyDescent="0.35">
      <c r="B4" s="78" t="s">
        <v>39</v>
      </c>
      <c r="C4" s="83">
        <v>1186</v>
      </c>
      <c r="D4" s="38" t="s">
        <v>30</v>
      </c>
      <c r="G4" s="1"/>
      <c r="H4" s="1"/>
      <c r="I4" s="1"/>
      <c r="K4" s="4"/>
      <c r="M4" s="4"/>
      <c r="N4" s="1"/>
      <c r="O4" s="1"/>
    </row>
    <row r="5" spans="2:16" ht="17.25" thickTop="1" x14ac:dyDescent="0.3">
      <c r="B5" s="13" t="s">
        <v>5</v>
      </c>
      <c r="C5" s="53"/>
      <c r="D5" s="14"/>
      <c r="F5" s="69"/>
      <c r="G5" s="52"/>
      <c r="H5" s="1"/>
      <c r="K5" s="4"/>
      <c r="M5" s="4"/>
      <c r="N5" s="1"/>
      <c r="O5" s="1"/>
    </row>
    <row r="6" spans="2:16" x14ac:dyDescent="0.3">
      <c r="B6" s="39" t="s">
        <v>15</v>
      </c>
      <c r="C6" s="67">
        <f>C4*C5</f>
        <v>0</v>
      </c>
      <c r="D6" s="14"/>
      <c r="G6" s="18"/>
      <c r="H6" s="1"/>
      <c r="K6" s="4"/>
      <c r="M6" s="4"/>
      <c r="N6" s="1"/>
      <c r="O6" s="1"/>
    </row>
    <row r="7" spans="2:16" ht="13.5" customHeight="1" x14ac:dyDescent="0.3">
      <c r="B7" s="40"/>
      <c r="C7" s="55"/>
      <c r="D7" s="41"/>
      <c r="F7" s="18"/>
      <c r="G7" s="20"/>
      <c r="H7" s="1"/>
      <c r="K7" s="4"/>
      <c r="M7" s="4"/>
      <c r="N7" s="1"/>
      <c r="O7" s="1"/>
    </row>
    <row r="8" spans="2:16" ht="19.5" customHeight="1" x14ac:dyDescent="0.3">
      <c r="B8" s="117" t="s">
        <v>32</v>
      </c>
      <c r="C8" s="117"/>
      <c r="E8" s="17"/>
    </row>
    <row r="9" spans="2:16" s="2" customFormat="1" ht="51" x14ac:dyDescent="0.2">
      <c r="B9" s="42" t="s">
        <v>16</v>
      </c>
      <c r="C9" s="56" t="s">
        <v>27</v>
      </c>
      <c r="D9" s="42" t="s">
        <v>0</v>
      </c>
      <c r="E9" s="42" t="s">
        <v>1</v>
      </c>
      <c r="F9" s="42" t="s">
        <v>2</v>
      </c>
      <c r="G9" s="42" t="s">
        <v>17</v>
      </c>
      <c r="H9" s="42" t="s">
        <v>29</v>
      </c>
      <c r="I9" s="42" t="s">
        <v>18</v>
      </c>
      <c r="J9" s="42" t="s">
        <v>3</v>
      </c>
      <c r="K9" s="42" t="s">
        <v>4</v>
      </c>
      <c r="L9" s="42" t="s">
        <v>13</v>
      </c>
      <c r="M9" s="42" t="s">
        <v>19</v>
      </c>
      <c r="N9" s="42" t="s">
        <v>14</v>
      </c>
      <c r="O9" s="42" t="s">
        <v>20</v>
      </c>
      <c r="P9" s="2" t="s">
        <v>33</v>
      </c>
    </row>
    <row r="10" spans="2:16" s="22" customFormat="1" x14ac:dyDescent="0.2">
      <c r="B10" s="21"/>
      <c r="C10" s="56" t="s">
        <v>35</v>
      </c>
      <c r="D10" s="42"/>
      <c r="E10" s="42"/>
      <c r="F10" s="42"/>
      <c r="G10" s="3" t="s">
        <v>21</v>
      </c>
      <c r="H10" s="42"/>
      <c r="I10" s="42"/>
      <c r="J10" s="3"/>
      <c r="K10" s="3"/>
      <c r="L10" s="3" t="s">
        <v>21</v>
      </c>
      <c r="M10" s="3" t="s">
        <v>21</v>
      </c>
      <c r="N10" s="3" t="s">
        <v>21</v>
      </c>
      <c r="O10" s="3" t="s">
        <v>21</v>
      </c>
    </row>
    <row r="11" spans="2:16" s="22" customFormat="1" x14ac:dyDescent="0.3">
      <c r="B11" s="45" t="s">
        <v>43</v>
      </c>
      <c r="C11" s="81">
        <v>185.31</v>
      </c>
      <c r="D11" s="23">
        <v>1985</v>
      </c>
      <c r="E11" s="23">
        <v>2024</v>
      </c>
      <c r="F11" s="44">
        <v>60</v>
      </c>
      <c r="G11" s="44">
        <v>27000</v>
      </c>
      <c r="H11" s="44">
        <f t="shared" ref="H11" si="0">E11-D11</f>
        <v>39</v>
      </c>
      <c r="I11" s="44">
        <f t="shared" ref="I11" si="1">F11-H11</f>
        <v>21</v>
      </c>
      <c r="J11" s="44">
        <f t="shared" ref="J11" si="2">IF(H11&gt;=5,90*H11/F11,0)</f>
        <v>58.5</v>
      </c>
      <c r="K11" s="44">
        <f t="shared" ref="K11" si="3">G11/100*J11</f>
        <v>15795</v>
      </c>
      <c r="L11" s="44">
        <f t="shared" ref="L11" si="4">ROUND((G11-K11),0)</f>
        <v>11205</v>
      </c>
      <c r="M11" s="44">
        <f t="shared" ref="M11" si="5">O11-N11</f>
        <v>2926971</v>
      </c>
      <c r="N11" s="44">
        <f t="shared" ref="N11" si="6">ROUND(L11*C11,0)</f>
        <v>2076399</v>
      </c>
      <c r="O11" s="44">
        <f t="shared" ref="O11" si="7">ROUND(G11*C11,0)</f>
        <v>5003370</v>
      </c>
    </row>
    <row r="12" spans="2:16" s="22" customFormat="1" x14ac:dyDescent="0.3">
      <c r="B12" s="45" t="s">
        <v>40</v>
      </c>
      <c r="C12" s="81">
        <v>482.25</v>
      </c>
      <c r="D12" s="23">
        <v>1985</v>
      </c>
      <c r="E12" s="23">
        <v>2024</v>
      </c>
      <c r="F12" s="44">
        <v>60</v>
      </c>
      <c r="G12" s="44">
        <v>27000</v>
      </c>
      <c r="H12" s="44">
        <f t="shared" ref="H12" si="8">E12-D12</f>
        <v>39</v>
      </c>
      <c r="I12" s="44">
        <f t="shared" ref="I12" si="9">F12-H12</f>
        <v>21</v>
      </c>
      <c r="J12" s="44">
        <f t="shared" ref="J12" si="10">IF(H12&gt;=5,90*H12/F12,0)</f>
        <v>58.5</v>
      </c>
      <c r="K12" s="44">
        <f t="shared" ref="K12" si="11">G12/100*J12</f>
        <v>15795</v>
      </c>
      <c r="L12" s="44">
        <f t="shared" ref="L12" si="12">ROUND((G12-K12),0)</f>
        <v>11205</v>
      </c>
      <c r="M12" s="44">
        <f t="shared" ref="M12" si="13">O12-N12</f>
        <v>7617139</v>
      </c>
      <c r="N12" s="44">
        <f t="shared" ref="N12" si="14">ROUND(L12*C12,0)</f>
        <v>5403611</v>
      </c>
      <c r="O12" s="44">
        <f t="shared" ref="O12" si="15">ROUND(G12*C12,0)</f>
        <v>13020750</v>
      </c>
    </row>
    <row r="13" spans="2:16" s="22" customFormat="1" x14ac:dyDescent="0.3">
      <c r="B13" s="45" t="s">
        <v>41</v>
      </c>
      <c r="C13" s="81">
        <v>465.11</v>
      </c>
      <c r="D13" s="23">
        <v>1985</v>
      </c>
      <c r="E13" s="23">
        <v>2024</v>
      </c>
      <c r="F13" s="44">
        <v>60</v>
      </c>
      <c r="G13" s="44">
        <v>27000</v>
      </c>
      <c r="H13" s="44">
        <f t="shared" ref="H13" si="16">E13-D13</f>
        <v>39</v>
      </c>
      <c r="I13" s="44">
        <f t="shared" ref="I13" si="17">F13-H13</f>
        <v>21</v>
      </c>
      <c r="J13" s="44">
        <f t="shared" ref="J13" si="18">IF(H13&gt;=5,90*H13/F13,0)</f>
        <v>58.5</v>
      </c>
      <c r="K13" s="44">
        <f t="shared" ref="K13" si="19">G13/100*J13</f>
        <v>15795</v>
      </c>
      <c r="L13" s="44">
        <f t="shared" ref="L13" si="20">ROUND((G13-K13),0)</f>
        <v>11205</v>
      </c>
      <c r="M13" s="44">
        <f t="shared" ref="M13" si="21">O13-N13</f>
        <v>7346412</v>
      </c>
      <c r="N13" s="44">
        <f t="shared" ref="N13" si="22">ROUND(L13*C13,0)</f>
        <v>5211558</v>
      </c>
      <c r="O13" s="44">
        <f t="shared" ref="O13" si="23">ROUND(G13*C13,0)</f>
        <v>12557970</v>
      </c>
    </row>
    <row r="14" spans="2:16" s="22" customFormat="1" x14ac:dyDescent="0.3">
      <c r="B14" s="45" t="s">
        <v>42</v>
      </c>
      <c r="C14" s="81">
        <v>235.98</v>
      </c>
      <c r="D14" s="23">
        <v>1985</v>
      </c>
      <c r="E14" s="23">
        <v>2024</v>
      </c>
      <c r="F14" s="44">
        <v>60</v>
      </c>
      <c r="G14" s="44">
        <v>27000</v>
      </c>
      <c r="H14" s="44">
        <f t="shared" ref="H14:H15" si="24">E14-D14</f>
        <v>39</v>
      </c>
      <c r="I14" s="44">
        <f t="shared" ref="I14:I15" si="25">F14-H14</f>
        <v>21</v>
      </c>
      <c r="J14" s="44">
        <f t="shared" ref="J14:J15" si="26">IF(H14&gt;=5,90*H14/F14,0)</f>
        <v>58.5</v>
      </c>
      <c r="K14" s="44">
        <f t="shared" ref="K14:K15" si="27">G14/100*J14</f>
        <v>15795</v>
      </c>
      <c r="L14" s="44">
        <f t="shared" ref="L14:L15" si="28">ROUND((G14-K14),0)</f>
        <v>11205</v>
      </c>
      <c r="M14" s="44">
        <f t="shared" ref="M14:M15" si="29">O14-N14</f>
        <v>3727304</v>
      </c>
      <c r="N14" s="44">
        <f t="shared" ref="N14:N15" si="30">ROUND(L14*C14,0)</f>
        <v>2644156</v>
      </c>
      <c r="O14" s="44">
        <f t="shared" ref="O14:O15" si="31">ROUND(G14*C14,0)</f>
        <v>6371460</v>
      </c>
    </row>
    <row r="15" spans="2:16" s="22" customFormat="1" x14ac:dyDescent="0.3">
      <c r="B15" s="45"/>
      <c r="C15" s="81"/>
      <c r="D15" s="23"/>
      <c r="E15" s="23"/>
      <c r="F15" s="44"/>
      <c r="G15" s="44"/>
      <c r="H15" s="44">
        <f t="shared" si="24"/>
        <v>0</v>
      </c>
      <c r="I15" s="44">
        <f t="shared" si="25"/>
        <v>0</v>
      </c>
      <c r="J15" s="44">
        <f t="shared" si="26"/>
        <v>0</v>
      </c>
      <c r="K15" s="44">
        <f t="shared" si="27"/>
        <v>0</v>
      </c>
      <c r="L15" s="44">
        <f t="shared" si="28"/>
        <v>0</v>
      </c>
      <c r="M15" s="44">
        <f t="shared" si="29"/>
        <v>0</v>
      </c>
      <c r="N15" s="44">
        <f t="shared" si="30"/>
        <v>0</v>
      </c>
      <c r="O15" s="44">
        <f t="shared" si="31"/>
        <v>0</v>
      </c>
    </row>
    <row r="16" spans="2:16" s="26" customFormat="1" x14ac:dyDescent="0.3">
      <c r="B16" s="25" t="s">
        <v>31</v>
      </c>
      <c r="C16" s="57">
        <f>SUM(C11:C15)</f>
        <v>1368.65</v>
      </c>
      <c r="D16" s="45"/>
      <c r="E16" s="23"/>
      <c r="F16" s="44"/>
      <c r="G16" s="44"/>
      <c r="H16" s="44"/>
      <c r="I16" s="44"/>
      <c r="J16" s="44"/>
      <c r="K16" s="44">
        <f t="shared" ref="K16" si="32">G16/100*J16</f>
        <v>0</v>
      </c>
      <c r="L16" s="44">
        <f t="shared" ref="L16" si="33">ROUND((G16-K16),0)</f>
        <v>0</v>
      </c>
      <c r="M16" s="79">
        <f>SUM(M11:M15)</f>
        <v>21617826</v>
      </c>
      <c r="N16" s="79">
        <f>SUM(N11:N15)</f>
        <v>15335724</v>
      </c>
      <c r="O16" s="79">
        <f>SUM(O11:O15)</f>
        <v>36953550</v>
      </c>
      <c r="P16" s="71"/>
    </row>
    <row r="17" spans="2:16" s="26" customFormat="1" ht="18.75" customHeight="1" x14ac:dyDescent="0.3">
      <c r="B17" s="47"/>
      <c r="C17" s="58"/>
      <c r="D17" s="48">
        <f>C11*10.764</f>
        <v>1994.6768399999999</v>
      </c>
      <c r="E17" s="48"/>
      <c r="F17" s="49"/>
      <c r="G17" s="50"/>
      <c r="H17" s="51"/>
      <c r="I17" s="51"/>
      <c r="J17" s="51"/>
      <c r="K17" s="51"/>
      <c r="L17" s="51"/>
    </row>
    <row r="18" spans="2:16" x14ac:dyDescent="0.3">
      <c r="B18" s="124" t="s">
        <v>22</v>
      </c>
      <c r="C18" s="124"/>
      <c r="D18" s="24"/>
      <c r="E18" s="24"/>
      <c r="G18" s="66"/>
      <c r="H18" s="29"/>
      <c r="I18" s="1"/>
      <c r="J18" s="1"/>
      <c r="L18" s="1"/>
      <c r="N18" s="1"/>
      <c r="O18" s="1"/>
      <c r="P18" s="19"/>
    </row>
    <row r="19" spans="2:16" x14ac:dyDescent="0.3">
      <c r="B19" s="12" t="s">
        <v>23</v>
      </c>
      <c r="C19" s="67"/>
      <c r="D19" s="24"/>
      <c r="E19" s="4"/>
      <c r="F19" s="66"/>
      <c r="H19" s="80"/>
      <c r="I19" s="1"/>
      <c r="J19" s="1"/>
      <c r="L19" s="1"/>
      <c r="M19" s="74"/>
      <c r="N19" s="74"/>
      <c r="O19" s="1"/>
      <c r="P19" s="19"/>
    </row>
    <row r="20" spans="2:16" x14ac:dyDescent="0.3">
      <c r="B20" s="13" t="s">
        <v>5</v>
      </c>
      <c r="C20" s="68"/>
      <c r="D20" s="24"/>
      <c r="E20" s="24"/>
      <c r="G20" s="29"/>
      <c r="H20" s="29"/>
      <c r="I20" s="26"/>
      <c r="J20" s="26"/>
      <c r="K20" s="26"/>
      <c r="L20" s="26"/>
      <c r="N20" s="73"/>
      <c r="O20" s="1"/>
    </row>
    <row r="21" spans="2:16" x14ac:dyDescent="0.3">
      <c r="B21" s="13" t="s">
        <v>6</v>
      </c>
      <c r="C21" s="67">
        <f>ROUND((C19*C20),0)</f>
        <v>0</v>
      </c>
      <c r="D21" s="24"/>
      <c r="E21" s="77"/>
      <c r="G21" s="29"/>
      <c r="H21" s="29"/>
      <c r="I21" s="1"/>
      <c r="J21" s="1"/>
      <c r="L21" s="19"/>
      <c r="M21" s="19"/>
      <c r="N21" s="19"/>
      <c r="O21" s="1"/>
    </row>
    <row r="22" spans="2:16" x14ac:dyDescent="0.3">
      <c r="B22" s="27"/>
      <c r="C22" s="59"/>
      <c r="D22" s="24"/>
      <c r="E22" s="46"/>
      <c r="G22" s="75"/>
      <c r="H22" s="75"/>
      <c r="I22" s="1"/>
      <c r="J22" s="26"/>
      <c r="K22" s="26"/>
      <c r="L22" s="1"/>
      <c r="N22" s="1"/>
      <c r="O22" s="1"/>
    </row>
    <row r="23" spans="2:16" ht="16.5" customHeight="1" x14ac:dyDescent="0.3">
      <c r="B23" s="125" t="s">
        <v>12</v>
      </c>
      <c r="C23" s="126"/>
      <c r="D23" s="24"/>
      <c r="E23" s="28"/>
      <c r="F23" s="11"/>
      <c r="G23" s="63"/>
      <c r="H23" s="62"/>
      <c r="I23" s="1"/>
      <c r="J23" s="1"/>
      <c r="L23" s="1"/>
      <c r="M23" s="72"/>
      <c r="N23" s="1"/>
      <c r="O23" s="1"/>
    </row>
    <row r="24" spans="2:16" x14ac:dyDescent="0.3">
      <c r="B24" s="12" t="s">
        <v>9</v>
      </c>
      <c r="C24" s="54">
        <f>C4-C12</f>
        <v>703.75</v>
      </c>
      <c r="D24" s="30"/>
      <c r="E24" s="4"/>
      <c r="F24" s="11"/>
      <c r="H24" s="1"/>
      <c r="I24" s="1"/>
      <c r="J24" s="1"/>
      <c r="L24" s="1"/>
      <c r="M24" s="72"/>
      <c r="N24" s="1"/>
      <c r="O24" s="1"/>
    </row>
    <row r="25" spans="2:16" x14ac:dyDescent="0.3">
      <c r="B25" s="13" t="s">
        <v>5</v>
      </c>
      <c r="C25" s="53"/>
      <c r="D25" s="17"/>
      <c r="E25" s="4"/>
      <c r="H25" s="1"/>
      <c r="I25" s="1"/>
      <c r="J25" s="1"/>
      <c r="L25" s="1"/>
      <c r="N25" s="1"/>
      <c r="O25" s="1"/>
    </row>
    <row r="26" spans="2:16" x14ac:dyDescent="0.3">
      <c r="B26" s="13" t="s">
        <v>6</v>
      </c>
      <c r="C26" s="54">
        <f>ROUND((C24*C25),0)</f>
        <v>0</v>
      </c>
      <c r="D26" s="5"/>
      <c r="E26" s="4"/>
      <c r="H26" s="1"/>
      <c r="I26" s="1"/>
      <c r="J26" s="1"/>
      <c r="L26" s="1"/>
      <c r="M26" s="26"/>
      <c r="O26" s="1"/>
    </row>
    <row r="27" spans="2:16" x14ac:dyDescent="0.3">
      <c r="C27" s="60"/>
      <c r="D27" s="5"/>
      <c r="E27" s="5"/>
      <c r="G27" s="11"/>
      <c r="I27" s="7"/>
      <c r="J27" s="7"/>
      <c r="M27" s="72"/>
      <c r="N27" s="1"/>
    </row>
    <row r="28" spans="2:16" x14ac:dyDescent="0.3">
      <c r="B28" s="127"/>
      <c r="C28" s="128"/>
      <c r="D28" s="11"/>
      <c r="E28" s="4"/>
      <c r="F28" s="7"/>
      <c r="G28" s="7"/>
      <c r="H28" s="1"/>
      <c r="J28" s="11"/>
      <c r="K28" s="4"/>
      <c r="M28" s="26"/>
      <c r="O28" s="1"/>
    </row>
    <row r="29" spans="2:16" x14ac:dyDescent="0.3">
      <c r="B29" s="31" t="s">
        <v>11</v>
      </c>
      <c r="C29" s="54">
        <f>C6</f>
        <v>0</v>
      </c>
      <c r="D29" s="9"/>
      <c r="E29" s="9"/>
      <c r="F29" s="10"/>
      <c r="G29" s="10"/>
      <c r="H29" s="1"/>
      <c r="J29" s="8"/>
      <c r="K29" s="4"/>
      <c r="M29" s="72"/>
      <c r="N29" s="1"/>
      <c r="O29" s="1"/>
    </row>
    <row r="30" spans="2:16" x14ac:dyDescent="0.3">
      <c r="B30" s="31" t="s">
        <v>37</v>
      </c>
      <c r="C30" s="54">
        <f>N16</f>
        <v>15335724</v>
      </c>
      <c r="D30" s="9"/>
      <c r="E30" s="9"/>
      <c r="F30" s="70"/>
      <c r="J30" s="10"/>
      <c r="K30" s="4"/>
      <c r="M30" s="72"/>
      <c r="N30" s="1"/>
      <c r="P30" s="4"/>
    </row>
    <row r="31" spans="2:16" x14ac:dyDescent="0.3">
      <c r="B31" s="31" t="s">
        <v>38</v>
      </c>
      <c r="C31" s="54">
        <v>0</v>
      </c>
      <c r="D31" s="9"/>
      <c r="E31" s="9"/>
      <c r="F31" s="70"/>
      <c r="J31" s="10"/>
      <c r="K31" s="4"/>
      <c r="M31" s="72"/>
      <c r="N31" s="1"/>
      <c r="P31" s="4"/>
    </row>
    <row r="32" spans="2:16" ht="17.25" thickBot="1" x14ac:dyDescent="0.35">
      <c r="B32" s="31" t="s">
        <v>24</v>
      </c>
      <c r="C32" s="54">
        <v>0</v>
      </c>
      <c r="D32" s="9"/>
      <c r="E32" s="9"/>
      <c r="F32" s="10"/>
      <c r="G32" s="10"/>
      <c r="J32" s="10"/>
      <c r="K32" s="4"/>
      <c r="M32" s="72"/>
      <c r="N32" s="1"/>
      <c r="O32" s="1"/>
    </row>
    <row r="33" spans="2:15" x14ac:dyDescent="0.3">
      <c r="B33" s="31" t="s">
        <v>10</v>
      </c>
      <c r="C33" s="54">
        <f>C29+C30+C31+C32</f>
        <v>15335724</v>
      </c>
      <c r="D33" s="9"/>
      <c r="E33" s="84" t="s">
        <v>44</v>
      </c>
      <c r="F33" s="85"/>
      <c r="G33" s="86">
        <v>23000</v>
      </c>
      <c r="H33" s="87" t="s">
        <v>45</v>
      </c>
      <c r="J33" s="10"/>
      <c r="K33" s="4"/>
      <c r="M33" s="4"/>
      <c r="N33" s="1"/>
      <c r="O33" s="1"/>
    </row>
    <row r="34" spans="2:15" x14ac:dyDescent="0.3">
      <c r="B34" s="32" t="s">
        <v>28</v>
      </c>
      <c r="C34" s="64">
        <f>C29+C30+C31</f>
        <v>15335724</v>
      </c>
      <c r="D34" s="8"/>
      <c r="E34" s="120" t="s">
        <v>46</v>
      </c>
      <c r="F34" s="121"/>
      <c r="G34" s="88">
        <v>2500</v>
      </c>
      <c r="H34" s="89"/>
      <c r="J34" s="1"/>
      <c r="K34" s="4"/>
      <c r="M34" s="4"/>
      <c r="N34" s="1"/>
      <c r="O34" s="1"/>
    </row>
    <row r="35" spans="2:15" x14ac:dyDescent="0.3">
      <c r="B35" s="32" t="s">
        <v>7</v>
      </c>
      <c r="C35" s="64">
        <f>ROUND(C34*0.9,0)</f>
        <v>13802152</v>
      </c>
      <c r="D35" s="8"/>
      <c r="E35" s="90" t="s">
        <v>47</v>
      </c>
      <c r="F35" s="91"/>
      <c r="G35" s="88">
        <f>G33-G34</f>
        <v>20500</v>
      </c>
      <c r="H35" s="89"/>
      <c r="J35" s="1"/>
      <c r="K35" s="4"/>
      <c r="M35" s="4"/>
      <c r="N35" s="1"/>
      <c r="O35" s="1"/>
    </row>
    <row r="36" spans="2:15" x14ac:dyDescent="0.3">
      <c r="B36" s="32" t="s">
        <v>8</v>
      </c>
      <c r="C36" s="64">
        <f>MROUND(C34*80%,1)</f>
        <v>12268579</v>
      </c>
      <c r="D36" s="8"/>
      <c r="E36" s="90" t="s">
        <v>48</v>
      </c>
      <c r="F36" s="91"/>
      <c r="G36" s="88">
        <f>G34</f>
        <v>2500</v>
      </c>
      <c r="H36" s="89"/>
      <c r="J36" s="1"/>
      <c r="K36" s="4"/>
      <c r="M36" s="4"/>
      <c r="N36" s="1"/>
      <c r="O36" s="1"/>
    </row>
    <row r="37" spans="2:15" x14ac:dyDescent="0.3">
      <c r="B37" s="32" t="s">
        <v>25</v>
      </c>
      <c r="C37" s="64"/>
      <c r="D37" s="4"/>
      <c r="E37" s="90" t="s">
        <v>49</v>
      </c>
      <c r="F37" s="92"/>
      <c r="G37" s="93">
        <f>H37-H38</f>
        <v>39</v>
      </c>
      <c r="H37" s="94">
        <v>2024</v>
      </c>
      <c r="J37" s="1"/>
      <c r="K37" s="4"/>
      <c r="M37" s="33"/>
      <c r="N37" s="1"/>
      <c r="O37" s="1"/>
    </row>
    <row r="38" spans="2:15" x14ac:dyDescent="0.3">
      <c r="B38" s="31" t="s">
        <v>26</v>
      </c>
      <c r="C38" s="64"/>
      <c r="D38" s="4"/>
      <c r="E38" s="90" t="s">
        <v>50</v>
      </c>
      <c r="F38" s="92"/>
      <c r="G38" s="93">
        <f>G39-G37</f>
        <v>21</v>
      </c>
      <c r="H38" s="95">
        <v>1985</v>
      </c>
      <c r="J38" s="1"/>
      <c r="K38" s="4"/>
      <c r="M38" s="33"/>
      <c r="N38" s="1"/>
      <c r="O38" s="1"/>
    </row>
    <row r="39" spans="2:15" x14ac:dyDescent="0.3">
      <c r="B39" s="1"/>
      <c r="E39" s="90" t="s">
        <v>51</v>
      </c>
      <c r="F39" s="92"/>
      <c r="G39" s="93">
        <v>60</v>
      </c>
      <c r="H39" s="94"/>
    </row>
    <row r="40" spans="2:15" ht="63.75" x14ac:dyDescent="0.3">
      <c r="B40" s="1"/>
      <c r="E40" s="96" t="s">
        <v>52</v>
      </c>
      <c r="F40" s="92"/>
      <c r="G40" s="93">
        <f>(100-10)*G37/G39</f>
        <v>58.5</v>
      </c>
      <c r="H40" s="94"/>
      <c r="M40" s="34"/>
    </row>
    <row r="41" spans="2:15" x14ac:dyDescent="0.3">
      <c r="B41" s="1"/>
      <c r="E41" s="90"/>
      <c r="F41" s="97"/>
      <c r="G41" s="93">
        <f>G40%</f>
        <v>0.58499999999999996</v>
      </c>
      <c r="H41" s="98"/>
      <c r="M41" s="34"/>
    </row>
    <row r="42" spans="2:15" x14ac:dyDescent="0.3">
      <c r="B42" s="1"/>
      <c r="E42" s="90" t="s">
        <v>53</v>
      </c>
      <c r="F42" s="91"/>
      <c r="G42" s="88">
        <f>G36*G41</f>
        <v>1462.5</v>
      </c>
      <c r="H42" s="89"/>
      <c r="M42" s="34"/>
    </row>
    <row r="43" spans="2:15" x14ac:dyDescent="0.3">
      <c r="B43" s="1"/>
      <c r="E43" s="90" t="s">
        <v>54</v>
      </c>
      <c r="F43" s="91"/>
      <c r="G43" s="88">
        <f>G36-G42</f>
        <v>1037.5</v>
      </c>
      <c r="H43" s="89"/>
      <c r="M43" s="34"/>
    </row>
    <row r="44" spans="2:15" x14ac:dyDescent="0.3">
      <c r="B44" s="1"/>
      <c r="E44" s="90" t="s">
        <v>47</v>
      </c>
      <c r="F44" s="91"/>
      <c r="G44" s="88">
        <f>G35</f>
        <v>20500</v>
      </c>
      <c r="H44" s="89"/>
      <c r="M44" s="34"/>
    </row>
    <row r="45" spans="2:15" ht="16.5" customHeight="1" x14ac:dyDescent="0.3">
      <c r="B45" s="1"/>
      <c r="E45" s="90"/>
      <c r="F45" s="91"/>
      <c r="G45" s="88"/>
      <c r="H45" s="89"/>
      <c r="M45" s="34"/>
    </row>
    <row r="46" spans="2:15" x14ac:dyDescent="0.3">
      <c r="B46" s="1"/>
      <c r="E46" s="90" t="s">
        <v>55</v>
      </c>
      <c r="F46" s="91"/>
      <c r="G46" s="88">
        <f>G44+G43</f>
        <v>21537.5</v>
      </c>
      <c r="H46" s="89"/>
      <c r="M46" s="34"/>
    </row>
    <row r="47" spans="2:15" x14ac:dyDescent="0.3">
      <c r="B47" s="1"/>
      <c r="E47" s="90"/>
      <c r="F47" s="92"/>
      <c r="G47" s="93"/>
      <c r="H47" s="94"/>
    </row>
    <row r="48" spans="2:15" ht="30" customHeight="1" x14ac:dyDescent="0.3">
      <c r="B48" s="1"/>
      <c r="E48" s="122" t="s">
        <v>70</v>
      </c>
      <c r="F48" s="123"/>
      <c r="G48" s="88">
        <v>12738</v>
      </c>
      <c r="H48" s="94" t="s">
        <v>56</v>
      </c>
      <c r="I48" s="4" t="s">
        <v>64</v>
      </c>
      <c r="J48" s="4" t="s">
        <v>68</v>
      </c>
    </row>
    <row r="49" spans="2:11" x14ac:dyDescent="0.3">
      <c r="B49" s="1"/>
      <c r="C49" s="52"/>
      <c r="E49" s="100" t="s">
        <v>71</v>
      </c>
      <c r="F49" s="99"/>
      <c r="G49" s="101">
        <f>G46*G48</f>
        <v>274344675</v>
      </c>
      <c r="H49" s="102"/>
    </row>
    <row r="50" spans="2:11" x14ac:dyDescent="0.3">
      <c r="B50" s="1"/>
      <c r="C50" s="52"/>
      <c r="E50" s="100" t="s">
        <v>72</v>
      </c>
      <c r="F50" s="99"/>
      <c r="G50" s="101">
        <f>I55</f>
        <v>32119499.999999996</v>
      </c>
      <c r="H50" s="102"/>
      <c r="I50" s="15">
        <f>C12+C13+C14</f>
        <v>1183.3399999999999</v>
      </c>
      <c r="J50" s="4">
        <f>I50*10.764</f>
        <v>12737.471759999999</v>
      </c>
    </row>
    <row r="51" spans="2:11" x14ac:dyDescent="0.3">
      <c r="B51" s="1"/>
      <c r="C51" s="52"/>
      <c r="E51" s="103" t="s">
        <v>73</v>
      </c>
      <c r="F51" s="104"/>
      <c r="G51" s="105">
        <f>G49+G50</f>
        <v>306464175</v>
      </c>
      <c r="H51" s="106"/>
    </row>
    <row r="52" spans="2:11" x14ac:dyDescent="0.3">
      <c r="B52" s="1"/>
      <c r="E52" s="100" t="s">
        <v>59</v>
      </c>
      <c r="F52" s="99"/>
      <c r="G52" s="105">
        <f>G51*0.9</f>
        <v>275817757.5</v>
      </c>
      <c r="H52" s="94"/>
    </row>
    <row r="53" spans="2:11" x14ac:dyDescent="0.3">
      <c r="B53" s="1"/>
      <c r="C53" s="52"/>
      <c r="E53" s="100" t="s">
        <v>60</v>
      </c>
      <c r="F53" s="99"/>
      <c r="G53" s="101">
        <f>G51*0.8</f>
        <v>245171340</v>
      </c>
      <c r="H53" s="106"/>
      <c r="I53" s="4">
        <f>G33*0.7</f>
        <v>16099.999999999998</v>
      </c>
    </row>
    <row r="54" spans="2:11" x14ac:dyDescent="0.3">
      <c r="B54" s="1"/>
      <c r="C54" s="52"/>
      <c r="E54" s="100" t="s">
        <v>61</v>
      </c>
      <c r="F54" s="99"/>
      <c r="G54" s="101">
        <f>J57*G34</f>
        <v>36832500</v>
      </c>
      <c r="H54" s="107"/>
      <c r="I54" s="4">
        <v>1995</v>
      </c>
    </row>
    <row r="55" spans="2:11" x14ac:dyDescent="0.3">
      <c r="B55" s="1"/>
      <c r="C55" s="52"/>
      <c r="E55" s="90" t="s">
        <v>62</v>
      </c>
      <c r="F55" s="92"/>
      <c r="G55" s="108"/>
      <c r="H55" s="106"/>
      <c r="I55" s="4">
        <f>I53*I54</f>
        <v>32119499.999999996</v>
      </c>
      <c r="J55" s="4" t="s">
        <v>69</v>
      </c>
    </row>
    <row r="56" spans="2:11" ht="23.25" x14ac:dyDescent="0.35">
      <c r="B56" s="1"/>
      <c r="C56" s="52"/>
      <c r="E56" s="109" t="s">
        <v>63</v>
      </c>
      <c r="F56" s="110"/>
      <c r="G56" s="111">
        <f>G51*0.02/12</f>
        <v>510773.625</v>
      </c>
      <c r="H56" s="112"/>
    </row>
    <row r="57" spans="2:11" ht="17.25" thickBot="1" x14ac:dyDescent="0.35">
      <c r="B57" s="1"/>
      <c r="C57" s="52"/>
      <c r="E57" s="113"/>
      <c r="F57" s="114"/>
      <c r="G57" s="115"/>
      <c r="H57" s="116"/>
      <c r="J57" s="15">
        <f>G48+I54</f>
        <v>14733</v>
      </c>
    </row>
    <row r="58" spans="2:11" x14ac:dyDescent="0.3">
      <c r="B58" s="1"/>
      <c r="C58" s="52"/>
      <c r="G58" s="35"/>
      <c r="H58" s="35"/>
      <c r="I58" s="35"/>
      <c r="J58" s="35"/>
      <c r="K58" s="6"/>
    </row>
    <row r="59" spans="2:11" x14ac:dyDescent="0.3">
      <c r="B59" s="1"/>
      <c r="C59" s="52"/>
      <c r="G59" s="33"/>
      <c r="H59" s="1"/>
      <c r="I59" s="33"/>
      <c r="J59" s="33"/>
    </row>
    <row r="60" spans="2:11" x14ac:dyDescent="0.3">
      <c r="B60" s="1"/>
      <c r="C60" s="52"/>
      <c r="G60" s="33"/>
      <c r="H60" s="33"/>
      <c r="I60" s="43"/>
      <c r="J60" s="43">
        <f>1995*0.7</f>
        <v>1396.5</v>
      </c>
    </row>
    <row r="61" spans="2:11" x14ac:dyDescent="0.3">
      <c r="B61" s="1"/>
      <c r="C61" s="52"/>
      <c r="G61" s="33"/>
      <c r="H61" s="33"/>
      <c r="I61" s="33"/>
      <c r="J61" s="33"/>
    </row>
    <row r="62" spans="2:11" x14ac:dyDescent="0.3">
      <c r="B62" s="1"/>
      <c r="C62" s="52"/>
      <c r="G62" s="33"/>
      <c r="H62" s="36"/>
      <c r="I62" s="33"/>
      <c r="J62" s="33"/>
    </row>
    <row r="63" spans="2:11" x14ac:dyDescent="0.3">
      <c r="B63" s="1"/>
      <c r="C63" s="52"/>
      <c r="G63" s="33"/>
      <c r="H63" s="33"/>
      <c r="I63" s="33"/>
      <c r="J63" s="33"/>
    </row>
    <row r="64" spans="2:11" x14ac:dyDescent="0.3">
      <c r="B64" s="1"/>
      <c r="C64" s="52"/>
      <c r="G64" s="33"/>
      <c r="H64" s="33"/>
      <c r="I64" s="33"/>
      <c r="J64" s="33"/>
    </row>
    <row r="65" spans="2:10" x14ac:dyDescent="0.3">
      <c r="B65" s="1"/>
      <c r="C65" s="52"/>
      <c r="G65" s="33"/>
      <c r="H65" s="33"/>
      <c r="I65" s="33"/>
      <c r="J65" s="33"/>
    </row>
    <row r="66" spans="2:10" x14ac:dyDescent="0.3">
      <c r="B66" s="1"/>
      <c r="C66" s="52"/>
      <c r="G66" s="33"/>
      <c r="H66" s="33"/>
      <c r="I66" s="33"/>
      <c r="J66" s="33"/>
    </row>
    <row r="67" spans="2:10" x14ac:dyDescent="0.3">
      <c r="B67" s="1"/>
      <c r="C67" s="52"/>
      <c r="G67" s="33"/>
      <c r="H67" s="33"/>
      <c r="I67" s="33"/>
      <c r="J67" s="33"/>
    </row>
    <row r="68" spans="2:10" x14ac:dyDescent="0.3">
      <c r="B68" s="1"/>
      <c r="C68" s="52"/>
      <c r="G68" s="33"/>
      <c r="H68" s="33"/>
      <c r="I68" s="33"/>
      <c r="J68" s="33"/>
    </row>
    <row r="69" spans="2:10" x14ac:dyDescent="0.3">
      <c r="B69" s="1"/>
      <c r="C69" s="52"/>
    </row>
    <row r="70" spans="2:10" x14ac:dyDescent="0.3">
      <c r="B70" s="1"/>
      <c r="C70" s="52"/>
    </row>
    <row r="71" spans="2:10" x14ac:dyDescent="0.3">
      <c r="B71" s="1"/>
      <c r="C71" s="52"/>
    </row>
    <row r="72" spans="2:10" x14ac:dyDescent="0.3">
      <c r="B72" s="1"/>
      <c r="C72" s="52"/>
    </row>
    <row r="73" spans="2:10" x14ac:dyDescent="0.3">
      <c r="B73" s="1"/>
      <c r="C73" s="52"/>
    </row>
    <row r="74" spans="2:10" x14ac:dyDescent="0.3">
      <c r="B74" s="1"/>
      <c r="C74" s="52"/>
      <c r="G74" s="37"/>
    </row>
    <row r="75" spans="2:10" x14ac:dyDescent="0.3">
      <c r="B75" s="1"/>
      <c r="C75" s="52"/>
      <c r="G75" s="37"/>
    </row>
    <row r="76" spans="2:10" x14ac:dyDescent="0.3">
      <c r="B76" s="1"/>
      <c r="C76" s="52"/>
      <c r="G76" s="37"/>
    </row>
    <row r="77" spans="2:10" x14ac:dyDescent="0.3">
      <c r="B77" s="1"/>
      <c r="C77" s="52"/>
      <c r="G77" s="37"/>
    </row>
    <row r="78" spans="2:10" x14ac:dyDescent="0.3">
      <c r="B78" s="1"/>
      <c r="C78" s="52"/>
      <c r="G78" s="37"/>
    </row>
    <row r="79" spans="2:10" x14ac:dyDescent="0.3">
      <c r="B79" s="1"/>
      <c r="C79" s="52"/>
      <c r="G79" s="37"/>
    </row>
    <row r="80" spans="2:10" x14ac:dyDescent="0.3">
      <c r="B80" s="1"/>
      <c r="C80" s="52"/>
      <c r="G80" s="37"/>
    </row>
    <row r="81" spans="2:7" x14ac:dyDescent="0.3">
      <c r="B81" s="1"/>
      <c r="C81" s="52"/>
      <c r="G81" s="37"/>
    </row>
    <row r="82" spans="2:7" x14ac:dyDescent="0.3">
      <c r="B82" s="1"/>
      <c r="C82" s="52"/>
      <c r="G82" s="37"/>
    </row>
    <row r="83" spans="2:7" x14ac:dyDescent="0.3">
      <c r="B83" s="1"/>
      <c r="C83" s="52"/>
      <c r="G83" s="37"/>
    </row>
    <row r="84" spans="2:7" x14ac:dyDescent="0.3">
      <c r="B84" s="1"/>
      <c r="C84" s="52"/>
    </row>
    <row r="85" spans="2:7" x14ac:dyDescent="0.3">
      <c r="B85" s="1"/>
      <c r="C85" s="52"/>
    </row>
    <row r="86" spans="2:7" x14ac:dyDescent="0.3">
      <c r="B86" s="1">
        <f>3350000/300</f>
        <v>11166.666666666666</v>
      </c>
      <c r="C86" s="52"/>
    </row>
    <row r="87" spans="2:7" x14ac:dyDescent="0.3">
      <c r="B87" s="1">
        <f>B86/10.764</f>
        <v>1037.4086461042982</v>
      </c>
      <c r="C87" s="52"/>
    </row>
    <row r="88" spans="2:7" x14ac:dyDescent="0.3">
      <c r="B88" s="1"/>
      <c r="C88" s="52"/>
    </row>
    <row r="89" spans="2:7" x14ac:dyDescent="0.3">
      <c r="B89" s="1"/>
      <c r="C89" s="52"/>
    </row>
    <row r="90" spans="2:7" x14ac:dyDescent="0.3">
      <c r="B90" s="1"/>
      <c r="C90" s="52"/>
    </row>
    <row r="91" spans="2:7" x14ac:dyDescent="0.3">
      <c r="B91" s="1"/>
      <c r="C91" s="52"/>
    </row>
    <row r="92" spans="2:7" x14ac:dyDescent="0.3">
      <c r="B92" s="1"/>
      <c r="C92" s="52"/>
    </row>
    <row r="93" spans="2:7" x14ac:dyDescent="0.3">
      <c r="B93" s="1"/>
      <c r="C93" s="52"/>
    </row>
    <row r="94" spans="2:7" x14ac:dyDescent="0.3">
      <c r="B94" s="1"/>
      <c r="C94" s="52"/>
    </row>
    <row r="95" spans="2:7" x14ac:dyDescent="0.3">
      <c r="B95" s="1"/>
      <c r="C95" s="52"/>
    </row>
    <row r="96" spans="2:7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>
        <f>1969*10.764</f>
        <v>21194.315999999999</v>
      </c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</sheetData>
  <mergeCells count="7">
    <mergeCell ref="B8:C8"/>
    <mergeCell ref="B1:G1"/>
    <mergeCell ref="E34:F34"/>
    <mergeCell ref="E48:F48"/>
    <mergeCell ref="B18:C18"/>
    <mergeCell ref="B23:C23"/>
    <mergeCell ref="B28:C28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N14:P15"/>
  <sheetViews>
    <sheetView workbookViewId="0">
      <selection activeCell="P19" sqref="P19"/>
    </sheetView>
  </sheetViews>
  <sheetFormatPr defaultRowHeight="15" x14ac:dyDescent="0.25"/>
  <sheetData>
    <row r="14" spans="14:16" x14ac:dyDescent="0.25">
      <c r="N14" s="82">
        <f>86400000/32000</f>
        <v>2700</v>
      </c>
      <c r="O14" t="s">
        <v>36</v>
      </c>
    </row>
    <row r="15" spans="14:16" x14ac:dyDescent="0.25">
      <c r="N15" s="76">
        <f>N14*10.764</f>
        <v>29062.799999999999</v>
      </c>
      <c r="O15" s="76" t="s">
        <v>34</v>
      </c>
      <c r="P15" s="7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7E159-66D6-452A-925A-D8041F7E0A2A}">
  <dimension ref="B4:F31"/>
  <sheetViews>
    <sheetView tabSelected="1" workbookViewId="0">
      <selection activeCell="K17" sqref="K17"/>
    </sheetView>
  </sheetViews>
  <sheetFormatPr defaultRowHeight="15" x14ac:dyDescent="0.25"/>
  <cols>
    <col min="2" max="2" width="21.7109375" customWidth="1"/>
    <col min="3" max="3" width="18.28515625" customWidth="1"/>
    <col min="4" max="4" width="18.42578125" customWidth="1"/>
    <col min="5" max="5" width="14.140625" customWidth="1"/>
  </cols>
  <sheetData>
    <row r="4" spans="2:5" ht="15.75" thickBot="1" x14ac:dyDescent="0.3"/>
    <row r="5" spans="2:5" ht="15.75" x14ac:dyDescent="0.25">
      <c r="B5" s="84" t="s">
        <v>44</v>
      </c>
      <c r="C5" s="85"/>
      <c r="D5" s="86">
        <v>23000</v>
      </c>
      <c r="E5" s="87" t="s">
        <v>45</v>
      </c>
    </row>
    <row r="6" spans="2:5" ht="15.75" x14ac:dyDescent="0.25">
      <c r="B6" s="120" t="s">
        <v>46</v>
      </c>
      <c r="C6" s="121"/>
      <c r="D6" s="88">
        <v>2500</v>
      </c>
      <c r="E6" s="89"/>
    </row>
    <row r="7" spans="2:5" ht="15.75" x14ac:dyDescent="0.25">
      <c r="B7" s="90" t="s">
        <v>47</v>
      </c>
      <c r="C7" s="91"/>
      <c r="D7" s="88">
        <f>D5-D6</f>
        <v>20500</v>
      </c>
      <c r="E7" s="89"/>
    </row>
    <row r="8" spans="2:5" ht="15.75" x14ac:dyDescent="0.25">
      <c r="B8" s="90" t="s">
        <v>48</v>
      </c>
      <c r="C8" s="91"/>
      <c r="D8" s="88">
        <f>D6</f>
        <v>2500</v>
      </c>
      <c r="E8" s="89"/>
    </row>
    <row r="9" spans="2:5" ht="15.75" x14ac:dyDescent="0.25">
      <c r="B9" s="90" t="s">
        <v>49</v>
      </c>
      <c r="C9" s="92"/>
      <c r="D9" s="93">
        <f>E9-E10</f>
        <v>39</v>
      </c>
      <c r="E9" s="94">
        <v>2024</v>
      </c>
    </row>
    <row r="10" spans="2:5" ht="15.75" x14ac:dyDescent="0.25">
      <c r="B10" s="90" t="s">
        <v>50</v>
      </c>
      <c r="C10" s="92"/>
      <c r="D10" s="93">
        <f>D11-D9</f>
        <v>21</v>
      </c>
      <c r="E10" s="95">
        <v>1985</v>
      </c>
    </row>
    <row r="11" spans="2:5" ht="15.75" x14ac:dyDescent="0.25">
      <c r="B11" s="90" t="s">
        <v>51</v>
      </c>
      <c r="C11" s="92"/>
      <c r="D11" s="93">
        <v>60</v>
      </c>
      <c r="E11" s="94"/>
    </row>
    <row r="12" spans="2:5" ht="31.5" x14ac:dyDescent="0.25">
      <c r="B12" s="96" t="s">
        <v>52</v>
      </c>
      <c r="C12" s="92"/>
      <c r="D12" s="93">
        <f>(100-10)*D9/D11</f>
        <v>58.5</v>
      </c>
      <c r="E12" s="94"/>
    </row>
    <row r="13" spans="2:5" ht="15.75" x14ac:dyDescent="0.25">
      <c r="B13" s="90"/>
      <c r="C13" s="97"/>
      <c r="D13" s="93">
        <f>D12%</f>
        <v>0.58499999999999996</v>
      </c>
      <c r="E13" s="98"/>
    </row>
    <row r="14" spans="2:5" ht="15.75" x14ac:dyDescent="0.25">
      <c r="B14" s="90" t="s">
        <v>53</v>
      </c>
      <c r="C14" s="91"/>
      <c r="D14" s="88">
        <f>D8*D13</f>
        <v>1462.5</v>
      </c>
      <c r="E14" s="89"/>
    </row>
    <row r="15" spans="2:5" ht="15.75" x14ac:dyDescent="0.25">
      <c r="B15" s="90" t="s">
        <v>54</v>
      </c>
      <c r="C15" s="91"/>
      <c r="D15" s="88">
        <f>D8-D14</f>
        <v>1037.5</v>
      </c>
      <c r="E15" s="89"/>
    </row>
    <row r="16" spans="2:5" ht="15.75" x14ac:dyDescent="0.25">
      <c r="B16" s="90" t="s">
        <v>47</v>
      </c>
      <c r="C16" s="91"/>
      <c r="D16" s="88">
        <f>D7</f>
        <v>20500</v>
      </c>
      <c r="E16" s="89"/>
    </row>
    <row r="17" spans="2:6" ht="15.75" x14ac:dyDescent="0.25">
      <c r="B17" s="90"/>
      <c r="C17" s="91"/>
      <c r="D17" s="88"/>
      <c r="E17" s="89"/>
    </row>
    <row r="18" spans="2:6" ht="15.75" x14ac:dyDescent="0.25">
      <c r="B18" s="90" t="s">
        <v>55</v>
      </c>
      <c r="C18" s="91"/>
      <c r="D18" s="88">
        <f>D16+D15</f>
        <v>21537.5</v>
      </c>
      <c r="E18" s="89"/>
    </row>
    <row r="19" spans="2:6" ht="15.75" x14ac:dyDescent="0.25">
      <c r="B19" s="90"/>
      <c r="C19" s="92"/>
      <c r="D19" s="93"/>
      <c r="E19" s="94"/>
    </row>
    <row r="20" spans="2:6" ht="15.75" x14ac:dyDescent="0.25">
      <c r="B20" s="122" t="s">
        <v>65</v>
      </c>
      <c r="C20" s="123"/>
      <c r="D20" s="88">
        <v>12738</v>
      </c>
      <c r="E20" s="94" t="s">
        <v>56</v>
      </c>
    </row>
    <row r="21" spans="2:6" ht="15.75" x14ac:dyDescent="0.25">
      <c r="B21" s="100" t="s">
        <v>57</v>
      </c>
      <c r="C21" s="99"/>
      <c r="D21" s="101">
        <f>D18*D20</f>
        <v>274344675</v>
      </c>
      <c r="E21" s="102"/>
    </row>
    <row r="22" spans="2:6" ht="15.75" x14ac:dyDescent="0.25">
      <c r="B22" s="100"/>
      <c r="C22" s="99"/>
      <c r="D22" s="101"/>
      <c r="E22" s="102"/>
    </row>
    <row r="23" spans="2:6" ht="15.75" x14ac:dyDescent="0.25">
      <c r="B23" s="100" t="s">
        <v>77</v>
      </c>
      <c r="C23" s="99"/>
      <c r="D23" s="101">
        <f>1995*15000</f>
        <v>29925000</v>
      </c>
      <c r="E23" s="102"/>
      <c r="F23" t="s">
        <v>75</v>
      </c>
    </row>
    <row r="24" spans="2:6" ht="15.75" x14ac:dyDescent="0.25">
      <c r="B24" s="100"/>
      <c r="C24" s="99"/>
      <c r="D24" s="101"/>
      <c r="E24" s="102"/>
    </row>
    <row r="25" spans="2:6" ht="15.75" x14ac:dyDescent="0.25">
      <c r="B25" s="103" t="s">
        <v>58</v>
      </c>
      <c r="C25" s="104"/>
      <c r="D25" s="105">
        <f>D23+D21</f>
        <v>304269675</v>
      </c>
      <c r="E25" s="106"/>
    </row>
    <row r="26" spans="2:6" ht="15.75" x14ac:dyDescent="0.25">
      <c r="B26" s="100" t="s">
        <v>59</v>
      </c>
      <c r="C26" s="99"/>
      <c r="D26" s="105">
        <f>D25*0.9</f>
        <v>273842707.5</v>
      </c>
      <c r="E26" s="94"/>
    </row>
    <row r="27" spans="2:6" ht="15.75" x14ac:dyDescent="0.25">
      <c r="B27" s="100" t="s">
        <v>60</v>
      </c>
      <c r="C27" s="99"/>
      <c r="D27" s="101">
        <f>D25*0.8</f>
        <v>243415740</v>
      </c>
      <c r="E27" s="106"/>
    </row>
    <row r="28" spans="2:6" ht="15.75" x14ac:dyDescent="0.25">
      <c r="B28" s="100" t="s">
        <v>61</v>
      </c>
      <c r="C28" s="99"/>
      <c r="D28" s="101">
        <f>G31*D6</f>
        <v>0</v>
      </c>
      <c r="E28" s="107"/>
    </row>
    <row r="29" spans="2:6" ht="15.75" x14ac:dyDescent="0.25">
      <c r="B29" s="90" t="s">
        <v>62</v>
      </c>
      <c r="C29" s="92"/>
      <c r="D29" s="108"/>
      <c r="E29" s="106"/>
    </row>
    <row r="30" spans="2:6" ht="23.25" x14ac:dyDescent="0.35">
      <c r="B30" s="109" t="s">
        <v>63</v>
      </c>
      <c r="C30" s="110"/>
      <c r="D30" s="111">
        <f>D25*0.02/12</f>
        <v>507116.125</v>
      </c>
      <c r="E30" s="112"/>
    </row>
    <row r="31" spans="2:6" ht="15.75" thickBot="1" x14ac:dyDescent="0.3">
      <c r="B31" s="113"/>
      <c r="C31" s="114"/>
      <c r="D31" s="115"/>
      <c r="E31" s="116"/>
    </row>
  </sheetData>
  <mergeCells count="2">
    <mergeCell ref="B6:C6"/>
    <mergeCell ref="B20:C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E3:V44"/>
  <sheetViews>
    <sheetView workbookViewId="0">
      <selection activeCell="G37" sqref="G37"/>
    </sheetView>
  </sheetViews>
  <sheetFormatPr defaultRowHeight="15" x14ac:dyDescent="0.25"/>
  <cols>
    <col min="11" max="11" width="9.85546875" customWidth="1"/>
    <col min="12" max="12" width="10.28515625" customWidth="1"/>
  </cols>
  <sheetData>
    <row r="3" spans="11:22" x14ac:dyDescent="0.25">
      <c r="K3" s="76">
        <f>41500000/1104</f>
        <v>37590.579710144928</v>
      </c>
      <c r="L3" s="76" t="s">
        <v>66</v>
      </c>
    </row>
    <row r="4" spans="11:22" x14ac:dyDescent="0.25">
      <c r="K4" s="76">
        <f>K3/1.2</f>
        <v>31325.483091787442</v>
      </c>
      <c r="L4" s="76" t="s">
        <v>67</v>
      </c>
    </row>
    <row r="7" spans="11:22" x14ac:dyDescent="0.25">
      <c r="U7" s="76">
        <f>22500000/720</f>
        <v>31250</v>
      </c>
      <c r="V7" s="76" t="s">
        <v>66</v>
      </c>
    </row>
    <row r="8" spans="11:22" x14ac:dyDescent="0.25">
      <c r="U8" s="76">
        <f>U7/1.2</f>
        <v>26041.666666666668</v>
      </c>
      <c r="V8" s="76" t="s">
        <v>67</v>
      </c>
    </row>
    <row r="33" spans="5:5" ht="9" customHeight="1" x14ac:dyDescent="0.25"/>
    <row r="34" spans="5:5" hidden="1" x14ac:dyDescent="0.25"/>
    <row r="44" spans="5:5" x14ac:dyDescent="0.25">
      <c r="E44" s="10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EEDE2-2F97-4D81-9EC1-6C8BBE7666DE}">
  <dimension ref="E3:R3"/>
  <sheetViews>
    <sheetView workbookViewId="0">
      <selection activeCell="X14" sqref="X14"/>
    </sheetView>
  </sheetViews>
  <sheetFormatPr defaultRowHeight="15" x14ac:dyDescent="0.25"/>
  <sheetData>
    <row r="3" spans="5:18" x14ac:dyDescent="0.25">
      <c r="E3" s="76">
        <f>20070000/1017</f>
        <v>19734.513274336285</v>
      </c>
      <c r="F3" s="76" t="s">
        <v>74</v>
      </c>
      <c r="Q3" s="76">
        <f>10800000/837</f>
        <v>12903.225806451614</v>
      </c>
      <c r="R3" s="76" t="s">
        <v>67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4AECC-275A-42C6-A86A-B663618054DE}">
  <dimension ref="F3:V4"/>
  <sheetViews>
    <sheetView topLeftCell="A10" workbookViewId="0">
      <selection activeCell="T4" sqref="T4"/>
    </sheetView>
  </sheetViews>
  <sheetFormatPr defaultRowHeight="15" x14ac:dyDescent="0.25"/>
  <sheetData>
    <row r="3" spans="6:22" x14ac:dyDescent="0.25">
      <c r="T3" s="76">
        <f>20000000/1364</f>
        <v>14662.756598240469</v>
      </c>
      <c r="U3" s="76" t="s">
        <v>76</v>
      </c>
      <c r="V3" s="76"/>
    </row>
    <row r="4" spans="6:22" x14ac:dyDescent="0.25">
      <c r="F4" s="76">
        <f>11300000/665</f>
        <v>16992.481203007519</v>
      </c>
      <c r="G4" s="76" t="s">
        <v>76</v>
      </c>
      <c r="H4" s="7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42B7-B295-45B8-B6DB-A5EB7266B588}">
  <dimension ref="F2:G2"/>
  <sheetViews>
    <sheetView workbookViewId="0">
      <selection activeCell="Q20" sqref="Q20"/>
    </sheetView>
  </sheetViews>
  <sheetFormatPr defaultRowHeight="15" x14ac:dyDescent="0.25"/>
  <sheetData>
    <row r="2" spans="6:7" x14ac:dyDescent="0.25">
      <c r="F2">
        <f>11300000/74.17/10.764</f>
        <v>14153.911487299532</v>
      </c>
      <c r="G2" t="s">
        <v>67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0A6B-AE48-4284-9E27-865EC294AA74}">
  <dimension ref="G3:H5"/>
  <sheetViews>
    <sheetView workbookViewId="0">
      <selection activeCell="Q15" sqref="Q15"/>
    </sheetView>
  </sheetViews>
  <sheetFormatPr defaultRowHeight="15" x14ac:dyDescent="0.25"/>
  <sheetData>
    <row r="3" spans="7:8" x14ac:dyDescent="0.25">
      <c r="G3" s="76">
        <f>100000000/4400</f>
        <v>22727.272727272728</v>
      </c>
      <c r="H3" s="76"/>
    </row>
    <row r="4" spans="7:8" x14ac:dyDescent="0.25">
      <c r="G4" s="76">
        <f>G3/1.2</f>
        <v>18939.39393939394</v>
      </c>
      <c r="H4" s="76" t="s">
        <v>67</v>
      </c>
    </row>
    <row r="5" spans="7:8" x14ac:dyDescent="0.25">
      <c r="G5" s="76"/>
      <c r="H5" s="7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Valuation </vt:lpstr>
      <vt:lpstr>Sheet1</vt:lpstr>
      <vt:lpstr>Calculation</vt:lpstr>
      <vt:lpstr>Sheet3</vt:lpstr>
      <vt:lpstr>Sheet4</vt:lpstr>
      <vt:lpstr>Sheet5</vt:lpstr>
      <vt:lpstr>Sheet6</vt:lpstr>
      <vt:lpstr>Sheet7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2024-11-13T11:48:03Z</dcterms:modified>
</cp:coreProperties>
</file>