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4\"/>
    </mc:Choice>
  </mc:AlternateContent>
  <xr:revisionPtr revIDLastSave="0" documentId="13_ncr:1_{CE8C1E0A-4E8B-490B-AE2C-07A39C08512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J44" i="4" l="1"/>
  <c r="J43" i="4"/>
  <c r="J42" i="4"/>
  <c r="J39" i="4"/>
  <c r="I39" i="4"/>
  <c r="J38" i="4"/>
  <c r="J37" i="4"/>
  <c r="J36" i="4"/>
  <c r="I38" i="4"/>
  <c r="I37" i="4"/>
  <c r="I34" i="4"/>
  <c r="J31" i="4"/>
  <c r="I31" i="4"/>
  <c r="J32" i="4"/>
  <c r="J30" i="4"/>
  <c r="I32" i="4"/>
  <c r="J34" i="4"/>
  <c r="I30" i="4"/>
  <c r="P12" i="4" l="1"/>
  <c r="Q12" i="4" s="1"/>
  <c r="P11" i="4"/>
  <c r="Q11" i="4" s="1"/>
  <c r="P10" i="4"/>
  <c r="Q10" i="4" s="1"/>
  <c r="Q9" i="4"/>
  <c r="P8" i="4"/>
  <c r="Q7" i="4"/>
  <c r="Q6" i="4"/>
  <c r="Q5" i="4"/>
  <c r="P4" i="4"/>
  <c r="Q3" i="4"/>
  <c r="P21" i="4"/>
  <c r="Q21" i="4" s="1"/>
  <c r="P20" i="4"/>
  <c r="Q20" i="4" s="1"/>
  <c r="Q19" i="4"/>
  <c r="P19" i="4"/>
  <c r="P18" i="4"/>
  <c r="Q18" i="4" s="1"/>
  <c r="P17" i="4"/>
  <c r="Q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<sst xmlns="http://schemas.openxmlformats.org/spreadsheetml/2006/main" count="71" uniqueCount="57">
  <si>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</si>
  <si>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</si>
  <si>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</si>
  <si>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</si>
  <si>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</si>
  <si>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</si>
  <si>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</si>
  <si>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</si>
  <si>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</si>
  <si>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</si>
  <si>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</si>
  <si>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</si>
  <si>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</si>
  <si>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</si>
  <si>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</si>
  <si>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</si>
  <si>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</si>
  <si>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</si>
  <si>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</si>
  <si>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</si>
  <si>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</si>
  <si>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</si>
  <si>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</si>
  <si>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</si>
  <si>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</si>
  <si>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</si>
  <si>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</si>
  <si>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</si>
  <si>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</si>
  <si>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</si>
  <si>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</si>
  <si>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</si>
  <si>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</si>
  <si>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</si>
  <si>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</si>
  <si>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</si>
  <si>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 xml:space="preserve">Ground Floor </t>
  </si>
  <si>
    <t>Varandah</t>
  </si>
  <si>
    <t>First Floor</t>
  </si>
  <si>
    <t xml:space="preserve">Balcony </t>
  </si>
  <si>
    <t xml:space="preserve">Open Terrace </t>
  </si>
  <si>
    <t>As per Engineer 1.30 Cr Lumpsum</t>
  </si>
  <si>
    <t xml:space="preserve">Approved pla Area </t>
  </si>
  <si>
    <t xml:space="preserve">First Floor </t>
  </si>
  <si>
    <t xml:space="preserve">Terrace </t>
  </si>
  <si>
    <t xml:space="preserve">Otla Area </t>
  </si>
  <si>
    <t xml:space="preserve">Total </t>
  </si>
  <si>
    <t>Total Terrace Area</t>
  </si>
  <si>
    <t xml:space="preserve">BUA -Bungalow </t>
  </si>
  <si>
    <t>SQ.FT</t>
  </si>
  <si>
    <t>(40% terrace area)</t>
  </si>
  <si>
    <t>Total BUA</t>
  </si>
  <si>
    <t>BUA</t>
  </si>
  <si>
    <t>18.10.2024</t>
  </si>
  <si>
    <t>As per BCC</t>
  </si>
  <si>
    <t>rate on BUA</t>
  </si>
  <si>
    <t>Residential Bungalow Plot No. RX 53, MIDC INdustrial Area, Dombivali East, District - 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</si>
</sst>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1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1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2" fontId="14" fillId="4" borderId="0" xfId="0" applyNumberFormat="1" applyFont="1" applyFill="1"/>
    <xf numFmtId="43" fontId="1" fillId="4" borderId="0" xfId="1" applyFont="1" applyFill="1"/>
    <xf numFmtId="2" fontId="1" fillId="4" borderId="0" xfId="0" applyNumberFormat="1" applyFont="1" applyFill="1"/>
    <xf numFmtId="0" fontId="2" fillId="0" borderId="9" xfId="0" applyFont="1" applyBorder="1"/>
    <xf numFmtId="2" fontId="2" fillId="0" borderId="9" xfId="0" applyNumberFormat="1" applyFont="1" applyBorder="1"/>
    <xf numFmtId="0" fontId="0" fillId="4" borderId="0" xfId="0" applyFill="1"/>
    <xf numFmtId="2" fontId="0" fillId="4" borderId="0" xfId="0" applyNumberFormat="1" applyFill="1"/>
    <xf numFmtId="43" fontId="0" fillId="4" borderId="0" xfId="1" applyFont="1" applyFill="1"/>
    <xf numFmtId="0" fontId="1" fillId="4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166688</xdr:colOff>
      <xdr:row>0</xdr:row>
      <xdr:rowOff>0</xdr:rowOff>
    </xdr:from>
    <xdr:to>
      <xdr:col>11</xdr:col>
      <xdr:colOff>407372</xdr:colOff>
      <xdr:row>43</xdr:row>
      <xdr:rowOff>118597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EDA28-9548-442D-B2CC-B1036190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8" y="0"/>
          <a:ext cx="6963747" cy="8040222"/>
        </a:xfrm>
        <a:prstGeom prst="rect">
          <a:avLst/>
        </a:prstGeom>
      </xdr:spPr>
    </xdr:pic>
    <xdr:clientData/>
  </xdr:twoCellAnchor>
  <xdr:twoCellAnchor editAs="oneCell">
    <xdr:from>
      <xdr:col>12</xdr:col>
      <xdr:colOff>166688</xdr:colOff>
      <xdr:row>0</xdr:row>
      <xdr:rowOff>0</xdr:rowOff>
    </xdr:from>
    <xdr:to>
      <xdr:col>23</xdr:col>
      <xdr:colOff>435951</xdr:colOff>
      <xdr:row>47</xdr:row>
      <xdr:rowOff>32966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436AF9-A31C-446E-A246-61389997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0938" y="0"/>
          <a:ext cx="6992326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0</xdr:rowOff>
    </xdr:from>
    <xdr:to>
      <xdr:col>11</xdr:col>
      <xdr:colOff>591517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CAFDB-3BFB-49F5-963D-14735E78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0"/>
          <a:ext cx="6925642" cy="8326012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19050</xdr:rowOff>
    </xdr:from>
    <xdr:to>
      <xdr:col>23</xdr:col>
      <xdr:colOff>543901</xdr:colOff>
      <xdr:row>42</xdr:row>
      <xdr:rowOff>48746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DEBFA4-BE07-4825-98D3-A3812361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19050"/>
          <a:ext cx="6992326" cy="8030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76200</xdr:rowOff>
    </xdr:from>
    <xdr:to>
      <xdr:col>13</xdr:col>
      <xdr:colOff>29552</xdr:colOff>
      <xdr:row>42</xdr:row>
      <xdr:rowOff>96369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D595C2-641D-47D9-9149-16F0EA04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76200"/>
          <a:ext cx="7001852" cy="8021169"/>
        </a:xfrm>
        <a:prstGeom prst="rect">
          <a:avLst/>
        </a:prstGeom>
      </xdr:spPr>
    </xdr:pic>
    <xdr:clientData/>
  </xdr:twoCellAnchor>
  <xdr:twoCellAnchor editAs="oneCell">
    <xdr:from>
      <xdr:col>13</xdr:col>
      <xdr:colOff>314325</xdr:colOff>
      <xdr:row>0</xdr:row>
      <xdr:rowOff>9525</xdr:rowOff>
    </xdr:from>
    <xdr:to>
      <xdr:col>24</xdr:col>
      <xdr:colOff>562945</xdr:colOff>
      <xdr:row>42</xdr:row>
      <xdr:rowOff>20168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4BB24-6D2A-46DB-A09A-E66610B5D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9525"/>
          <a:ext cx="6954220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0</xdr:rowOff>
    </xdr:from>
    <xdr:to>
      <xdr:col>16</xdr:col>
      <xdr:colOff>410536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82F33-E21F-497A-B1B0-59C8B3F7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0"/>
          <a:ext cx="6887536" cy="7830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0</xdr:row>
      <xdr:rowOff>57150</xdr:rowOff>
    </xdr:from>
    <xdr:to>
      <xdr:col>13</xdr:col>
      <xdr:colOff>553358</xdr:colOff>
      <xdr:row>31</xdr:row>
      <xdr:rowOff>181817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B3E51-E0A3-4E5D-98B1-5B54463C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" y="57150"/>
          <a:ext cx="6506483" cy="60301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25</xdr:col>
      <xdr:colOff>229483</xdr:colOff>
      <xdr:row>36</xdr:row>
      <xdr:rowOff>181957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CAAA3B-F3AB-4041-911E-2D78F1F8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6325483" cy="7039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105833</xdr:colOff>
      <xdr:row>0</xdr:row>
      <xdr:rowOff>179917</xdr:rowOff>
    </xdr:from>
    <xdr:to>
      <xdr:col>13</xdr:col>
      <xdr:colOff>407299</xdr:colOff>
      <xdr:row>34</xdr:row>
      <xdr:rowOff>28400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81EED-A84D-433C-BCC0-FF753FAE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333" y="179917"/>
          <a:ext cx="6439799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4"/>
  <sheetViews>
    <sheetView tabSelected="1" topLeftCell="A7" zoomScale="90" zoomScaleNormal="90" workbookViewId="0">
      <selection activeCell="Y17" sqref="Y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5"/>
      <c r="U1" s="35"/>
      <c r="V1" s="41"/>
      <c r="W1" s="35"/>
      <c r="X1" s="35"/>
      <c r="Y1" s="35"/>
    </row>
    <row r="2" spans="1:26" s="1" customFormat="1" ht="44.25" customHeight="1" x14ac:dyDescent="0.25">
      <c r="A2" s="79" t="s">
        <v>26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26"/>
      <c r="T2" s="81" t="s">
        <v>56</v>
      </c>
      <c r="U2" s="81"/>
      <c r="V2" s="81"/>
      <c r="W2" s="81"/>
      <c r="X2" s="81"/>
      <c r="Y2" s="81"/>
    </row>
    <row r="3" spans="1:26" s="25" customFormat="1" x14ac:dyDescent="0.25">
      <c r="A3" s="23">
        <f t="shared" ref="A3:A6" si="0">N3</f>
        <v>0</v>
      </c>
      <c r="B3" s="23">
        <f t="shared" ref="B3:B6" si="1">Q3</f>
        <v>1883</v>
      </c>
      <c r="C3" s="23">
        <f>B3*1.1</f>
        <v>2071.3000000000002</v>
      </c>
      <c r="D3" s="23">
        <f t="shared" ref="D3:D6" si="2">C3*1.2</f>
        <v>2485.56</v>
      </c>
      <c r="E3" s="24">
        <f t="shared" ref="E3:E6" si="3">R3</f>
        <v>40000000</v>
      </c>
      <c r="F3" s="23">
        <f t="shared" ref="F3:F6" si="4">ROUND((E3/B3),0)</f>
        <v>21243</v>
      </c>
      <c r="G3" s="23">
        <f t="shared" ref="G3:G6" si="5">ROUND((E3/C3),0)</f>
        <v>19312</v>
      </c>
      <c r="H3" s="23">
        <f t="shared" ref="H3:H6" si="6">ROUND((E3/D3),0)</f>
        <v>16093</v>
      </c>
      <c r="I3" s="23" t="e">
        <f>#REF!</f>
        <v>#REF!</v>
      </c>
      <c r="J3" s="23" t="e">
        <f>#REF!</f>
        <v>#REF!</v>
      </c>
      <c r="O3" s="25">
        <v>0</v>
      </c>
      <c r="P3" s="30">
        <v>2259.6</v>
      </c>
      <c r="Q3" s="30">
        <f t="shared" ref="Q3:Q12" si="7">P3/1.2</f>
        <v>1883</v>
      </c>
      <c r="R3" s="27">
        <v>40000000</v>
      </c>
      <c r="S3" s="27"/>
      <c r="T3" s="80"/>
      <c r="U3" s="80"/>
      <c r="V3" s="80"/>
      <c r="W3" s="80"/>
      <c r="X3" s="80"/>
      <c r="Y3" s="80"/>
    </row>
    <row r="4" spans="1:26" s="25" customFormat="1" ht="15.75" thickBot="1" x14ac:dyDescent="0.3">
      <c r="A4" s="23">
        <f t="shared" si="0"/>
        <v>0</v>
      </c>
      <c r="B4" s="23">
        <f t="shared" si="1"/>
        <v>632</v>
      </c>
      <c r="C4" s="23">
        <f t="shared" ref="C4:C8" si="8">B4*1.1</f>
        <v>695.2</v>
      </c>
      <c r="D4" s="23">
        <f t="shared" si="2"/>
        <v>834.24</v>
      </c>
      <c r="E4" s="24">
        <f t="shared" si="3"/>
        <v>9000000</v>
      </c>
      <c r="F4" s="23">
        <f t="shared" si="4"/>
        <v>14241</v>
      </c>
      <c r="G4" s="77">
        <f t="shared" si="5"/>
        <v>12946</v>
      </c>
      <c r="H4" s="23">
        <f t="shared" si="6"/>
        <v>10788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ref="P4:P12" si="9">O4/1.2</f>
        <v>0</v>
      </c>
      <c r="Q4" s="30">
        <v>632</v>
      </c>
      <c r="R4" s="27">
        <v>9000000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1083.3333333333335</v>
      </c>
      <c r="C5" s="23">
        <f t="shared" si="8"/>
        <v>1191.666666666667</v>
      </c>
      <c r="D5" s="23">
        <f t="shared" si="2"/>
        <v>1430.0000000000002</v>
      </c>
      <c r="E5" s="24">
        <f t="shared" si="3"/>
        <v>7700000</v>
      </c>
      <c r="F5" s="23">
        <f t="shared" si="4"/>
        <v>7108</v>
      </c>
      <c r="G5" s="23">
        <f t="shared" si="5"/>
        <v>6462</v>
      </c>
      <c r="H5" s="23">
        <f t="shared" si="6"/>
        <v>5385</v>
      </c>
      <c r="I5" s="23" t="e">
        <f>#REF!</f>
        <v>#REF!</v>
      </c>
      <c r="J5" s="23" t="e">
        <f>#REF!</f>
        <v>#REF!</v>
      </c>
      <c r="O5" s="25">
        <v>0</v>
      </c>
      <c r="P5" s="30">
        <v>1300</v>
      </c>
      <c r="Q5" s="30">
        <f t="shared" si="7"/>
        <v>1083.3333333333335</v>
      </c>
      <c r="R5" s="27">
        <v>7700000</v>
      </c>
      <c r="S5" s="27"/>
      <c r="T5" s="56" t="s">
        <v>11</v>
      </c>
      <c r="U5" s="36"/>
      <c r="V5" s="37">
        <v>12000</v>
      </c>
      <c r="W5" s="64" t="s">
        <v>55</v>
      </c>
      <c r="X5" s="10"/>
    </row>
    <row r="6" spans="1:26" s="25" customFormat="1" ht="37.5" customHeight="1" x14ac:dyDescent="0.25">
      <c r="A6" s="23">
        <f t="shared" si="0"/>
        <v>0</v>
      </c>
      <c r="B6" s="23">
        <f t="shared" si="1"/>
        <v>595.83333333333337</v>
      </c>
      <c r="C6" s="23">
        <f t="shared" si="8"/>
        <v>655.41666666666674</v>
      </c>
      <c r="D6" s="23">
        <f t="shared" si="2"/>
        <v>786.50000000000011</v>
      </c>
      <c r="E6" s="24">
        <f t="shared" si="3"/>
        <v>5850000</v>
      </c>
      <c r="F6" s="23">
        <f t="shared" si="4"/>
        <v>9818</v>
      </c>
      <c r="G6" s="23">
        <f t="shared" si="5"/>
        <v>8926</v>
      </c>
      <c r="H6" s="23">
        <f t="shared" si="6"/>
        <v>7438</v>
      </c>
      <c r="I6" s="23" t="e">
        <f>#REF!</f>
        <v>#REF!</v>
      </c>
      <c r="J6" s="23" t="e">
        <f>#REF!</f>
        <v>#REF!</v>
      </c>
      <c r="O6" s="25">
        <v>0</v>
      </c>
      <c r="P6" s="30">
        <v>715</v>
      </c>
      <c r="Q6" s="30">
        <f t="shared" si="7"/>
        <v>595.83333333333337</v>
      </c>
      <c r="R6" s="27">
        <v>5850000</v>
      </c>
      <c r="S6" s="27"/>
      <c r="T6" s="57" t="s">
        <v>12</v>
      </c>
      <c r="U6" s="11"/>
      <c r="V6" s="32">
        <v>2500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1166.6666666666667</v>
      </c>
      <c r="C7" s="23">
        <f t="shared" si="8"/>
        <v>1283.3333333333335</v>
      </c>
      <c r="D7" s="23">
        <f t="shared" ref="D7" si="12">C7*1.2</f>
        <v>1540.0000000000002</v>
      </c>
      <c r="E7" s="24">
        <f t="shared" ref="E7" si="13">R7</f>
        <v>6900000</v>
      </c>
      <c r="F7" s="23">
        <f t="shared" ref="F7" si="14">ROUND((E7/B7),0)</f>
        <v>5914</v>
      </c>
      <c r="G7" s="23">
        <f t="shared" ref="G7" si="15">ROUND((E7/C7),0)</f>
        <v>5377</v>
      </c>
      <c r="H7" s="23">
        <f t="shared" ref="H7" si="16">ROUND((E7/D7),0)</f>
        <v>4481</v>
      </c>
      <c r="I7" s="23" t="e">
        <f>#REF!</f>
        <v>#REF!</v>
      </c>
      <c r="J7" s="23" t="e">
        <f>#REF!</f>
        <v>#REF!</v>
      </c>
      <c r="O7" s="25">
        <v>0</v>
      </c>
      <c r="P7" s="30">
        <v>1400</v>
      </c>
      <c r="Q7" s="30">
        <f t="shared" si="7"/>
        <v>1166.6666666666667</v>
      </c>
      <c r="R7" s="27">
        <v>6900000</v>
      </c>
      <c r="S7" s="27"/>
      <c r="T7" s="13" t="s">
        <v>13</v>
      </c>
      <c r="U7" s="11"/>
      <c r="V7" s="32">
        <f>V5-V6</f>
        <v>9500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1900</v>
      </c>
      <c r="C8" s="23">
        <f t="shared" si="8"/>
        <v>2090</v>
      </c>
      <c r="D8" s="23">
        <f t="shared" ref="D8:D12" si="19">C8*1.2</f>
        <v>2508</v>
      </c>
      <c r="E8" s="24">
        <f t="shared" ref="E8:E12" si="20">R8</f>
        <v>20000000</v>
      </c>
      <c r="F8" s="23">
        <f t="shared" ref="F8:F12" si="21">ROUND((E8/B8),0)</f>
        <v>10526</v>
      </c>
      <c r="G8" s="77">
        <f t="shared" ref="G8:G12" si="22">ROUND((E8/C8),0)</f>
        <v>9569</v>
      </c>
      <c r="H8" s="23">
        <f t="shared" ref="H8:H12" si="23">ROUND((E8/D8),0)</f>
        <v>7974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9"/>
        <v>0</v>
      </c>
      <c r="Q8" s="30">
        <v>1900</v>
      </c>
      <c r="R8" s="27">
        <v>20000000</v>
      </c>
      <c r="S8" s="27"/>
      <c r="T8" s="13" t="s">
        <v>14</v>
      </c>
      <c r="U8" s="11"/>
      <c r="V8" s="32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1000</v>
      </c>
      <c r="C9" s="23">
        <f>B9*1.2</f>
        <v>1200</v>
      </c>
      <c r="D9" s="23">
        <f t="shared" si="19"/>
        <v>1440</v>
      </c>
      <c r="E9" s="24">
        <f t="shared" si="20"/>
        <v>12500000</v>
      </c>
      <c r="F9" s="23">
        <f t="shared" si="21"/>
        <v>12500</v>
      </c>
      <c r="G9" s="77">
        <f t="shared" si="22"/>
        <v>10417</v>
      </c>
      <c r="H9" s="23">
        <f t="shared" si="23"/>
        <v>8681</v>
      </c>
      <c r="I9" s="23" t="e">
        <f>#REF!</f>
        <v>#REF!</v>
      </c>
      <c r="J9" s="23" t="e">
        <f>#REF!</f>
        <v>#REF!</v>
      </c>
      <c r="O9" s="25">
        <v>0</v>
      </c>
      <c r="P9" s="30">
        <v>1200</v>
      </c>
      <c r="Q9" s="30">
        <f t="shared" si="7"/>
        <v>1000</v>
      </c>
      <c r="R9" s="27">
        <v>12500000</v>
      </c>
      <c r="S9" s="27"/>
      <c r="T9" s="13" t="s">
        <v>15</v>
      </c>
      <c r="U9" s="38"/>
      <c r="V9" s="58">
        <f>W9-W10</f>
        <v>29</v>
      </c>
      <c r="W9" s="14">
        <v>2024</v>
      </c>
      <c r="X9" s="44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9"/>
        <v>0</v>
      </c>
      <c r="Q10" s="30">
        <f t="shared" si="7"/>
        <v>0</v>
      </c>
      <c r="R10" s="27">
        <v>0</v>
      </c>
      <c r="S10" s="27"/>
      <c r="T10" s="13" t="s">
        <v>16</v>
      </c>
      <c r="U10" s="38"/>
      <c r="V10" s="58">
        <f>V11-V9</f>
        <v>31</v>
      </c>
      <c r="W10" s="63">
        <v>1995</v>
      </c>
      <c r="X10" s="44" t="s">
        <v>54</v>
      </c>
      <c r="Y10" s="53"/>
      <c r="Z10" s="53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9"/>
        <v>0</v>
      </c>
      <c r="Q11" s="30">
        <f t="shared" si="7"/>
        <v>0</v>
      </c>
      <c r="R11" s="27">
        <v>0</v>
      </c>
      <c r="S11" s="27"/>
      <c r="T11" s="13" t="s">
        <v>17</v>
      </c>
      <c r="U11" s="38"/>
      <c r="V11" s="58">
        <v>60</v>
      </c>
      <c r="W11" s="14"/>
      <c r="X11" s="44"/>
      <c r="Y11" s="50"/>
      <c r="Z11" s="50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9"/>
        <v>0</v>
      </c>
      <c r="Q12" s="30">
        <f t="shared" si="7"/>
        <v>0</v>
      </c>
      <c r="R12" s="27">
        <v>0</v>
      </c>
      <c r="S12" s="27"/>
      <c r="T12" s="57" t="s">
        <v>35</v>
      </c>
      <c r="U12" s="38"/>
      <c r="V12" s="58">
        <f>(100-10)*V9/V11</f>
        <v>43.5</v>
      </c>
      <c r="W12" s="14"/>
      <c r="X12" s="44"/>
      <c r="Y12" s="50"/>
      <c r="Z12" s="50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59"/>
      <c r="V13" s="58">
        <f>V12%</f>
        <v>0.435</v>
      </c>
      <c r="W13" s="60"/>
      <c r="X13" s="45"/>
      <c r="Y13" s="50"/>
      <c r="Z13" s="50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2">
        <f>V8*V13</f>
        <v>1087.5</v>
      </c>
      <c r="W14" s="12"/>
      <c r="X14" s="10"/>
      <c r="Y14" s="50"/>
      <c r="Z14" s="50"/>
    </row>
    <row r="15" spans="1:26" s="25" customFormat="1" ht="36.75" customHeight="1" x14ac:dyDescent="0.25">
      <c r="A15" s="78" t="s">
        <v>27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42"/>
      <c r="T15" s="13" t="s">
        <v>19</v>
      </c>
      <c r="U15" s="11"/>
      <c r="V15" s="32">
        <f>V8-V14</f>
        <v>1412.5</v>
      </c>
      <c r="W15" s="12"/>
      <c r="X15" s="10"/>
      <c r="Y15" s="50"/>
      <c r="Z15" s="50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545.83333333333337</v>
      </c>
      <c r="C16" s="23">
        <f>B16*1.1</f>
        <v>600.41666666666674</v>
      </c>
      <c r="D16" s="23">
        <f t="shared" ref="D16:D18" si="39">C16*1.2</f>
        <v>720.50000000000011</v>
      </c>
      <c r="E16" s="24">
        <f t="shared" ref="E16:E18" si="40">R16</f>
        <v>4000000</v>
      </c>
      <c r="F16" s="23">
        <f t="shared" ref="F16:F18" si="41">ROUND((E16/B16),0)</f>
        <v>7328</v>
      </c>
      <c r="G16" s="23">
        <f t="shared" ref="G16:G18" si="42">ROUND((E16/C16),0)</f>
        <v>6662</v>
      </c>
      <c r="H16" s="23">
        <f t="shared" ref="H16:H18" si="43">ROUND((E16/D16),0)</f>
        <v>5552</v>
      </c>
      <c r="I16" s="23" t="e">
        <f>#REF!</f>
        <v>#REF!</v>
      </c>
      <c r="J16" s="23" t="e">
        <f>#REF!</f>
        <v>#REF!</v>
      </c>
      <c r="O16">
        <v>0</v>
      </c>
      <c r="P16" s="29">
        <v>655</v>
      </c>
      <c r="Q16" s="29">
        <f t="shared" ref="Q16:Q21" si="44">P16/1.2</f>
        <v>545.83333333333337</v>
      </c>
      <c r="R16" s="2">
        <v>4000000</v>
      </c>
      <c r="S16" s="2"/>
      <c r="T16" s="13" t="s">
        <v>13</v>
      </c>
      <c r="U16" s="11"/>
      <c r="V16" s="32">
        <f>V7</f>
        <v>9500</v>
      </c>
      <c r="W16" s="12"/>
      <c r="X16" s="10"/>
      <c r="Y16" s="50"/>
      <c r="Z16" s="50"/>
    </row>
    <row r="17" spans="1:26" s="25" customFormat="1" ht="15.75" x14ac:dyDescent="0.25">
      <c r="A17" s="23">
        <f t="shared" si="37"/>
        <v>0</v>
      </c>
      <c r="B17" s="23">
        <f t="shared" si="38"/>
        <v>636.15</v>
      </c>
      <c r="C17" s="23">
        <f t="shared" ref="C17:C20" si="45">B17*1.1</f>
        <v>699.76499999999999</v>
      </c>
      <c r="D17" s="23">
        <f t="shared" si="39"/>
        <v>839.71799999999996</v>
      </c>
      <c r="E17" s="24">
        <f t="shared" si="40"/>
        <v>7000000</v>
      </c>
      <c r="F17" s="23">
        <f t="shared" si="41"/>
        <v>11004</v>
      </c>
      <c r="G17" s="77">
        <f t="shared" si="42"/>
        <v>10003</v>
      </c>
      <c r="H17" s="23">
        <f t="shared" si="43"/>
        <v>8336</v>
      </c>
      <c r="I17" s="23" t="e">
        <f>#REF!</f>
        <v>#REF!</v>
      </c>
      <c r="J17" s="23" t="e">
        <f>#REF!</f>
        <v>#REF!</v>
      </c>
      <c r="O17">
        <v>0</v>
      </c>
      <c r="P17" s="29">
        <f t="shared" ref="P17:P21" si="46">O17/1.2</f>
        <v>0</v>
      </c>
      <c r="Q17" s="29">
        <v>636.15</v>
      </c>
      <c r="R17" s="2">
        <v>7000000</v>
      </c>
      <c r="S17" s="2"/>
      <c r="T17" s="13"/>
      <c r="U17" s="11"/>
      <c r="V17" s="32"/>
      <c r="W17" s="12"/>
      <c r="X17" s="10"/>
      <c r="Z17" s="50"/>
    </row>
    <row r="18" spans="1:26" s="25" customFormat="1" ht="15.75" x14ac:dyDescent="0.25">
      <c r="A18" s="23">
        <f t="shared" si="37"/>
        <v>0</v>
      </c>
      <c r="B18" s="23">
        <f t="shared" si="38"/>
        <v>0</v>
      </c>
      <c r="C18" s="23">
        <f t="shared" si="45"/>
        <v>0</v>
      </c>
      <c r="D18" s="23">
        <f t="shared" si="39"/>
        <v>0</v>
      </c>
      <c r="E18" s="24">
        <f t="shared" si="40"/>
        <v>7315213</v>
      </c>
      <c r="F18" s="23" t="e">
        <f t="shared" si="41"/>
        <v>#DIV/0!</v>
      </c>
      <c r="G18" s="23" t="e">
        <f t="shared" si="42"/>
        <v>#DIV/0!</v>
      </c>
      <c r="H18" s="23" t="e">
        <f t="shared" si="43"/>
        <v>#DIV/0!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6"/>
        <v>0</v>
      </c>
      <c r="Q18" s="29">
        <f t="shared" si="44"/>
        <v>0</v>
      </c>
      <c r="R18" s="2">
        <v>7315213</v>
      </c>
      <c r="S18" s="2"/>
      <c r="T18" s="13" t="s">
        <v>20</v>
      </c>
      <c r="U18" s="11"/>
      <c r="V18" s="32">
        <f>V16+V15</f>
        <v>10912.5</v>
      </c>
      <c r="W18" s="12"/>
      <c r="X18" s="10"/>
      <c r="Y18" s="50"/>
      <c r="Z18" s="50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0</v>
      </c>
      <c r="C19" s="23">
        <f t="shared" si="45"/>
        <v>0</v>
      </c>
      <c r="D19" s="23">
        <f t="shared" ref="D19:D25" si="49">C19*1.2</f>
        <v>0</v>
      </c>
      <c r="E19" s="24">
        <f t="shared" ref="E19:E25" si="50">R19</f>
        <v>0</v>
      </c>
      <c r="F19" s="23" t="e">
        <f t="shared" ref="F19:F25" si="51">ROUND((E19/B19),0)</f>
        <v>#DIV/0!</v>
      </c>
      <c r="G19" s="23" t="e">
        <f t="shared" ref="G19:G25" si="52">ROUND((E19/C19),0)</f>
        <v>#DIV/0!</v>
      </c>
      <c r="H19" s="23" t="e">
        <f t="shared" ref="H19:H25" si="53">ROUND((E19/D19),0)</f>
        <v>#DIV/0!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6"/>
        <v>0</v>
      </c>
      <c r="Q19" s="29">
        <f t="shared" si="44"/>
        <v>0</v>
      </c>
      <c r="R19" s="2">
        <v>0</v>
      </c>
      <c r="S19" s="2"/>
      <c r="T19" s="13"/>
      <c r="U19" s="38"/>
      <c r="V19" s="58"/>
      <c r="W19" s="14"/>
      <c r="X19" s="44"/>
      <c r="Y19" s="51"/>
      <c r="Z19" s="50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6"/>
        <v>0</v>
      </c>
      <c r="Q20" s="29">
        <f t="shared" si="44"/>
        <v>0</v>
      </c>
      <c r="R20" s="2">
        <v>0</v>
      </c>
      <c r="S20" s="2"/>
      <c r="T20" s="61" t="s">
        <v>48</v>
      </c>
      <c r="U20" s="39"/>
      <c r="V20" s="32">
        <v>989</v>
      </c>
      <c r="W20" s="14" t="s">
        <v>29</v>
      </c>
      <c r="X20" s="44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6"/>
        <v>0</v>
      </c>
      <c r="Q21" s="29">
        <f t="shared" si="44"/>
        <v>0</v>
      </c>
      <c r="R21" s="2">
        <v>0</v>
      </c>
      <c r="S21" s="2"/>
      <c r="T21" s="15" t="s">
        <v>30</v>
      </c>
      <c r="U21" s="39"/>
      <c r="V21" s="34">
        <f>V18*V20</f>
        <v>10792462.5</v>
      </c>
      <c r="W21" s="16"/>
      <c r="X21" s="46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39"/>
      <c r="V22" s="34"/>
      <c r="W22" s="16"/>
      <c r="X22" s="52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10792462.5</v>
      </c>
      <c r="W23" s="18"/>
      <c r="X23" s="47"/>
      <c r="Y23" s="54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39"/>
      <c r="V24" s="10">
        <f>V23*0.9</f>
        <v>9713216.25</v>
      </c>
      <c r="W24" s="14"/>
      <c r="X24" s="62"/>
      <c r="Y24" s="43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39"/>
      <c r="V25" s="34">
        <f>V23*0.8</f>
        <v>8633970</v>
      </c>
      <c r="W25" s="18"/>
      <c r="X25" s="47"/>
    </row>
    <row r="26" spans="1:26" ht="15.75" x14ac:dyDescent="0.25">
      <c r="T26" s="15" t="s">
        <v>23</v>
      </c>
      <c r="U26" s="39"/>
      <c r="V26" s="34">
        <f>V6*V20</f>
        <v>2472500</v>
      </c>
      <c r="W26" s="19"/>
      <c r="X26" s="48"/>
      <c r="Y26" s="9"/>
    </row>
    <row r="27" spans="1:26" ht="38.25" customHeight="1" x14ac:dyDescent="0.25">
      <c r="G27" s="8"/>
      <c r="T27" s="13" t="s">
        <v>24</v>
      </c>
      <c r="U27" s="38"/>
      <c r="V27" s="40"/>
      <c r="W27" s="18"/>
      <c r="X27" s="47"/>
    </row>
    <row r="28" spans="1:26" ht="21" customHeight="1" x14ac:dyDescent="0.35">
      <c r="G28" s="69" t="s">
        <v>42</v>
      </c>
      <c r="H28" s="70"/>
      <c r="P28" s="69" t="s">
        <v>31</v>
      </c>
      <c r="Q28" s="70"/>
      <c r="R28" s="31"/>
      <c r="T28" s="65" t="s">
        <v>25</v>
      </c>
      <c r="U28" s="66"/>
      <c r="V28" s="67">
        <f>V23*0.025/12</f>
        <v>22484.296875</v>
      </c>
      <c r="W28" s="68"/>
      <c r="X28" s="55"/>
      <c r="Y28" s="6"/>
    </row>
    <row r="29" spans="1:26" ht="20.25" customHeight="1" thickBot="1" x14ac:dyDescent="0.3">
      <c r="G29" s="6"/>
      <c r="H29" s="6"/>
      <c r="P29" s="29" t="s">
        <v>36</v>
      </c>
      <c r="Q29" s="29">
        <v>505.14</v>
      </c>
      <c r="R29" t="s">
        <v>29</v>
      </c>
      <c r="T29" s="20"/>
      <c r="U29" s="21"/>
      <c r="V29" s="33"/>
      <c r="W29" s="22"/>
      <c r="X29" s="49"/>
      <c r="Y29" s="25"/>
    </row>
    <row r="30" spans="1:26" x14ac:dyDescent="0.25">
      <c r="G30" t="s">
        <v>36</v>
      </c>
      <c r="I30">
        <f>168.75/3</f>
        <v>56.25</v>
      </c>
      <c r="J30" s="29">
        <f>I30*10.764</f>
        <v>605.47499999999991</v>
      </c>
      <c r="N30" t="s">
        <v>29</v>
      </c>
      <c r="P30" s="29" t="s">
        <v>37</v>
      </c>
      <c r="Q30" s="29">
        <v>51.33</v>
      </c>
      <c r="R30" t="s">
        <v>29</v>
      </c>
    </row>
    <row r="31" spans="1:26" x14ac:dyDescent="0.25">
      <c r="G31" t="s">
        <v>45</v>
      </c>
      <c r="I31">
        <f>3.65*1.2</f>
        <v>4.38</v>
      </c>
      <c r="J31" s="29">
        <f>I31*10.764</f>
        <v>47.146319999999996</v>
      </c>
      <c r="N31" t="s">
        <v>29</v>
      </c>
      <c r="X31" s="9"/>
    </row>
    <row r="32" spans="1:26" x14ac:dyDescent="0.25">
      <c r="G32" t="s">
        <v>43</v>
      </c>
      <c r="I32">
        <f>33.454/2</f>
        <v>16.727</v>
      </c>
      <c r="J32" s="29">
        <f>I32*10.764</f>
        <v>180.04942800000001</v>
      </c>
      <c r="N32" t="s">
        <v>29</v>
      </c>
      <c r="P32" s="29" t="s">
        <v>38</v>
      </c>
      <c r="Q32" s="29">
        <v>307.16000000000003</v>
      </c>
      <c r="R32" t="s">
        <v>29</v>
      </c>
    </row>
    <row r="33" spans="7:20" x14ac:dyDescent="0.25">
      <c r="P33" s="29" t="s">
        <v>39</v>
      </c>
      <c r="Q33" s="29">
        <v>262</v>
      </c>
      <c r="R33" t="s">
        <v>29</v>
      </c>
    </row>
    <row r="34" spans="7:20" ht="15.75" thickBot="1" x14ac:dyDescent="0.3">
      <c r="G34" s="72"/>
      <c r="H34" s="72" t="s">
        <v>46</v>
      </c>
      <c r="I34" s="72">
        <f>SUM(I30:I33)</f>
        <v>77.356999999999999</v>
      </c>
      <c r="J34" s="73">
        <f>I34*10.764</f>
        <v>832.67074799999989</v>
      </c>
      <c r="K34" s="72"/>
      <c r="L34" s="72"/>
      <c r="M34" s="72"/>
      <c r="N34" s="72" t="s">
        <v>29</v>
      </c>
    </row>
    <row r="35" spans="7:20" ht="15.75" thickTop="1" x14ac:dyDescent="0.25">
      <c r="P35" s="29" t="s">
        <v>40</v>
      </c>
      <c r="Q35" s="29">
        <v>355.35</v>
      </c>
      <c r="R35" t="s">
        <v>29</v>
      </c>
    </row>
    <row r="36" spans="7:20" x14ac:dyDescent="0.25">
      <c r="G36" t="s">
        <v>44</v>
      </c>
      <c r="I36">
        <v>24.82</v>
      </c>
      <c r="J36" s="29">
        <f>I36*10.764</f>
        <v>267.16247999999996</v>
      </c>
      <c r="T36" s="29"/>
    </row>
    <row r="37" spans="7:20" x14ac:dyDescent="0.25">
      <c r="I37">
        <f>2.4*3.5</f>
        <v>8.4</v>
      </c>
      <c r="J37" s="29">
        <f t="shared" ref="J37:J38" si="63">I37*10.764</f>
        <v>90.417599999999993</v>
      </c>
      <c r="P37" s="71" t="s">
        <v>34</v>
      </c>
      <c r="Q37" s="76">
        <v>7800000</v>
      </c>
      <c r="R37" s="74" t="s">
        <v>53</v>
      </c>
      <c r="T37" s="29"/>
    </row>
    <row r="38" spans="7:20" x14ac:dyDescent="0.25">
      <c r="I38">
        <f>1.25*2.4</f>
        <v>3</v>
      </c>
      <c r="J38" s="29">
        <f t="shared" si="63"/>
        <v>32.292000000000002</v>
      </c>
      <c r="R38" s="29"/>
      <c r="T38" s="29"/>
    </row>
    <row r="39" spans="7:20" ht="15.75" thickBot="1" x14ac:dyDescent="0.3">
      <c r="G39" s="72" t="s">
        <v>47</v>
      </c>
      <c r="H39" s="72"/>
      <c r="I39" s="72">
        <f>SUM(I36:I38)</f>
        <v>36.22</v>
      </c>
      <c r="J39" s="73">
        <f>SUM(J36:J38)</f>
        <v>389.87207999999998</v>
      </c>
      <c r="K39" s="72"/>
      <c r="L39" s="72"/>
      <c r="M39" s="72"/>
      <c r="N39" s="72" t="s">
        <v>29</v>
      </c>
      <c r="P39" s="29" t="s">
        <v>41</v>
      </c>
    </row>
    <row r="40" spans="7:20" ht="15.75" thickTop="1" x14ac:dyDescent="0.25"/>
    <row r="42" spans="7:20" x14ac:dyDescent="0.25">
      <c r="I42" t="s">
        <v>52</v>
      </c>
      <c r="J42" s="29">
        <f>J34</f>
        <v>832.67074799999989</v>
      </c>
    </row>
    <row r="43" spans="7:20" x14ac:dyDescent="0.25">
      <c r="J43" s="29">
        <f>J39*40%</f>
        <v>155.94883200000001</v>
      </c>
      <c r="N43" t="s">
        <v>50</v>
      </c>
    </row>
    <row r="44" spans="7:20" x14ac:dyDescent="0.25">
      <c r="I44" s="74" t="s">
        <v>51</v>
      </c>
      <c r="J44" s="75">
        <f>SUM(J42:J43)</f>
        <v>988.61957999999993</v>
      </c>
      <c r="K44" s="74"/>
      <c r="L44" s="74"/>
      <c r="M44" s="74"/>
      <c r="N44" s="74" t="s">
        <v>49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1" sqref="M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N1" sqref="N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P1" sqref="P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2024-11-07T11:29:18Z</dcterms:modified>
</cp:coreProperties>
</file>