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VAISHAVIK\Vaishavak 24.10.2024\"/>
    </mc:Choice>
  </mc:AlternateContent>
  <xr:revisionPtr revIDLastSave="0" documentId="13_ncr:1_{241DB277-A944-499D-BE2E-B4D857BA7999}" xr6:coauthVersionLast="47" xr6:coauthVersionMax="47" xr10:uidLastSave="{00000000-0000-0000-0000-000000000000}"/>
  <bookViews>
    <workbookView xWindow="390" yWindow="390" windowWidth="14025" windowHeight="15465" activeTab="1" xr2:uid="{00000000-000D-0000-FFFF-FFFF00000000}"/>
  </bookViews>
  <sheets>
    <sheet name="Sheet1 (2)" sheetId="13" r:id="rId1"/>
    <sheet name="Valuation VCIPL" sheetId="4" r:id="rId2"/>
    <sheet name="Circle Rate" sheetId="6" r:id="rId3"/>
    <sheet name="Sheet1" sheetId="7" r:id="rId4"/>
    <sheet name="Sheet2" sheetId="8" r:id="rId5"/>
    <sheet name="Sheet3" sheetId="9" r:id="rId6"/>
    <sheet name="Sheet4" sheetId="10" r:id="rId7"/>
    <sheet name="Sheet5" sheetId="11" r:id="rId8"/>
    <sheet name="Sheet6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4" l="1"/>
  <c r="K56" i="12"/>
  <c r="J56" i="7"/>
  <c r="J56" i="8"/>
  <c r="J56" i="9"/>
  <c r="K56" i="10"/>
  <c r="J56" i="11"/>
  <c r="E19" i="13"/>
  <c r="E23" i="13" s="1"/>
  <c r="B19" i="13"/>
  <c r="K18" i="13"/>
  <c r="H18" i="13"/>
  <c r="G18" i="13"/>
  <c r="F18" i="13"/>
  <c r="D18" i="13"/>
  <c r="C18" i="13"/>
  <c r="H17" i="13"/>
  <c r="K17" i="13" s="1"/>
  <c r="G17" i="13"/>
  <c r="F17" i="13"/>
  <c r="D17" i="13"/>
  <c r="J17" i="13" s="1"/>
  <c r="C17" i="13"/>
  <c r="I17" i="13" s="1"/>
  <c r="H16" i="13"/>
  <c r="K16" i="13" s="1"/>
  <c r="G16" i="13"/>
  <c r="F16" i="13"/>
  <c r="D16" i="13"/>
  <c r="C16" i="13"/>
  <c r="H15" i="13"/>
  <c r="K15" i="13" s="1"/>
  <c r="G15" i="13"/>
  <c r="F15" i="13"/>
  <c r="D15" i="13"/>
  <c r="D19" i="13" s="1"/>
  <c r="C15" i="13"/>
  <c r="C19" i="13" s="1"/>
  <c r="E8" i="13"/>
  <c r="B8" i="13"/>
  <c r="H7" i="13"/>
  <c r="K7" i="13" s="1"/>
  <c r="G7" i="13"/>
  <c r="F7" i="13"/>
  <c r="D7" i="13"/>
  <c r="C7" i="13"/>
  <c r="I7" i="13" s="1"/>
  <c r="H6" i="13"/>
  <c r="K6" i="13" s="1"/>
  <c r="G6" i="13"/>
  <c r="F6" i="13"/>
  <c r="D6" i="13"/>
  <c r="J6" i="13" s="1"/>
  <c r="C6" i="13"/>
  <c r="I6" i="13" s="1"/>
  <c r="H5" i="13"/>
  <c r="K5" i="13" s="1"/>
  <c r="G5" i="13"/>
  <c r="F5" i="13"/>
  <c r="D5" i="13"/>
  <c r="C5" i="13"/>
  <c r="I5" i="13" s="1"/>
  <c r="H4" i="13"/>
  <c r="K4" i="13" s="1"/>
  <c r="G4" i="13"/>
  <c r="G8" i="13" s="1"/>
  <c r="F4" i="13"/>
  <c r="D4" i="13"/>
  <c r="D8" i="13" s="1"/>
  <c r="C4" i="13"/>
  <c r="C8" i="13" s="1"/>
  <c r="B23" i="13" l="1"/>
  <c r="I4" i="13"/>
  <c r="I8" i="13" s="1"/>
  <c r="F8" i="13"/>
  <c r="F19" i="13"/>
  <c r="F23" i="13" s="1"/>
  <c r="I16" i="13"/>
  <c r="I18" i="13"/>
  <c r="C23" i="13"/>
  <c r="H19" i="13"/>
  <c r="K19" i="13" s="1"/>
  <c r="J5" i="13"/>
  <c r="J7" i="13"/>
  <c r="G19" i="13"/>
  <c r="G23" i="13" s="1"/>
  <c r="J16" i="13"/>
  <c r="J18" i="13"/>
  <c r="H23" i="13"/>
  <c r="D23" i="13"/>
  <c r="J4" i="13"/>
  <c r="J8" i="13" s="1"/>
  <c r="H8" i="13"/>
  <c r="K8" i="13" s="1"/>
  <c r="I15" i="13"/>
  <c r="I19" i="13" s="1"/>
  <c r="I23" i="13" s="1"/>
  <c r="J15" i="13"/>
  <c r="J19" i="13" l="1"/>
  <c r="J23" i="13"/>
  <c r="B20" i="4" l="1"/>
  <c r="G10" i="4" l="1"/>
  <c r="I10" i="4" s="1"/>
  <c r="J10" i="4" s="1"/>
  <c r="K10" i="4" s="1"/>
  <c r="M10" i="4" s="1"/>
  <c r="H10" i="4"/>
  <c r="N10" i="4"/>
  <c r="L10" i="4" l="1"/>
  <c r="G11" i="4"/>
  <c r="H11" i="4" s="1"/>
  <c r="N11" i="4"/>
  <c r="I11" i="4" l="1"/>
  <c r="J11" i="4" s="1"/>
  <c r="K11" i="4" s="1"/>
  <c r="M11" i="4" s="1"/>
  <c r="L11" i="4" s="1"/>
  <c r="B12" i="4"/>
  <c r="B4" i="4" l="1"/>
  <c r="B22" i="4"/>
  <c r="N9" i="4"/>
  <c r="N12" i="4" l="1"/>
  <c r="G9" i="4"/>
  <c r="I9" i="4" s="1"/>
  <c r="J9" i="4" s="1"/>
  <c r="K9" i="4" s="1"/>
  <c r="M9" i="4" s="1"/>
  <c r="B17" i="4"/>
  <c r="B27" i="4" s="1"/>
  <c r="C4" i="4"/>
  <c r="B25" i="4"/>
  <c r="M12" i="4" l="1"/>
  <c r="B28" i="4"/>
  <c r="H9" i="4"/>
  <c r="B32" i="4" l="1"/>
  <c r="B33" i="4" l="1"/>
  <c r="L9" i="4"/>
  <c r="L12" i="4" s="1"/>
  <c r="B26" i="4" l="1"/>
  <c r="B29" i="4" s="1"/>
  <c r="D29" i="4" l="1"/>
  <c r="B31" i="4"/>
  <c r="B30" i="4"/>
</calcChain>
</file>

<file path=xl/sharedStrings.xml><?xml version="1.0" encoding="utf-8"?>
<sst xmlns="http://schemas.openxmlformats.org/spreadsheetml/2006/main" count="85" uniqueCount="51">
  <si>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</si>
  <si>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</si>
  <si>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</si>
  <si>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</si>
  <si>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</si>
  <si>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</si>
  <si>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</si>
  <si>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</si>
  <si>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</si>
  <si>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</si>
  <si>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</si>
  <si>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</si>
  <si>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</si>
  <si>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</si>
  <si>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</si>
  <si>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</si>
  <si>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</si>
  <si>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</si>
  <si>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</si>
  <si>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</si>
  <si>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</si>
  <si>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</si>
  <si>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</si>
  <si>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</si>
  <si>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</si>
  <si>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</si>
  <si>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</si>
  <si>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</si>
  <si>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</si>
  <si>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</si>
  <si>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</si>
  <si>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</si>
  <si>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</si>
  <si>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>RR Rate of 2022</t>
  </si>
  <si>
    <t>Ground Floor</t>
  </si>
  <si>
    <t>First Floor</t>
  </si>
  <si>
    <t>Security Cabin</t>
  </si>
  <si>
    <t>NEW VALUE</t>
  </si>
  <si>
    <t>VICPL</t>
  </si>
  <si>
    <t>K&amp;A</t>
  </si>
  <si>
    <t>Diff</t>
  </si>
  <si>
    <t>FMV</t>
  </si>
  <si>
    <t>RV</t>
  </si>
  <si>
    <t>DV</t>
  </si>
  <si>
    <t>Retail</t>
  </si>
  <si>
    <t>Nanded Phata</t>
  </si>
  <si>
    <t xml:space="preserve">Wing </t>
  </si>
  <si>
    <t>P &amp; M</t>
  </si>
  <si>
    <t>TOTAL</t>
  </si>
  <si>
    <t>OLD VALUE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</si>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</sst>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7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6" fillId="0" borderId="3" xfId="1" applyFont="1" applyBorder="1" applyAlignment="1">
      <alignment horizontal="left" vertical="top"/>
    </xf>
    <xf numFmtId="43" fontId="6" fillId="0" borderId="4" xfId="1" applyFont="1" applyBorder="1" applyAlignment="1">
      <alignment horizontal="left" vertical="top" wrapText="1"/>
    </xf>
    <xf numFmtId="43" fontId="3" fillId="0" borderId="0" xfId="1" applyFont="1"/>
    <xf numFmtId="43" fontId="6" fillId="0" borderId="1" xfId="1" applyFont="1" applyBorder="1" applyAlignment="1">
      <alignment horizontal="center" vertical="top"/>
    </xf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0" fillId="0" borderId="0" xfId="1" applyFont="1"/>
    <xf numFmtId="43" fontId="1" fillId="0" borderId="1" xfId="1" applyFont="1" applyBorder="1"/>
    <xf numFmtId="0" fontId="0" fillId="0" borderId="1" xfId="0" applyBorder="1"/>
    <xf numFmtId="43" fontId="0" fillId="0" borderId="1" xfId="1" applyFont="1" applyBorder="1"/>
    <xf numFmtId="9" fontId="0" fillId="0" borderId="1" xfId="3" applyFont="1" applyBorder="1"/>
    <xf numFmtId="0" fontId="14" fillId="0" borderId="1" xfId="0" applyFont="1" applyBorder="1"/>
    <xf numFmtId="43" fontId="14" fillId="0" borderId="1" xfId="1" applyFont="1" applyBorder="1"/>
    <xf numFmtId="43" fontId="14" fillId="0" borderId="1" xfId="0" applyNumberFormat="1" applyFont="1" applyBorder="1"/>
    <xf numFmtId="9" fontId="3" fillId="0" borderId="0" xfId="3" applyFont="1"/>
    <xf numFmtId="0" fontId="0" fillId="0" borderId="1" xfId="0" applyBorder="1" applyAlignment="1">
      <alignment horizontal="center"/>
    </xf>
    <xf numFmtId="0" fontId="14" fillId="0" borderId="1" xfId="0" applyFont="1" applyBorder="1" applyAlignment="1">
      <alignment horizontal="center"/>
    </xf>
  </cellXfs>
  <cellStyles count="4">
    <cellStyle name="Comma" xfId="1" builtinId="3"/>
    <cellStyle name="Comma 2" xfId="2" xr:uid="{E48405D6-DCCB-4ACA-ACCF-04B30786A290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18</xdr:col>
      <xdr:colOff>458370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B8273-04EA-AFA1-81EF-86C1A293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8383170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C1B88-8788-EE60-A271-9FC98F8B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AA6A2-7244-489C-4FAA-2CC02FF7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50C60-C478-3748-6763-10EF1A80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9110D-E92D-A1D5-CCAB-27E5176F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27C06-A968-010C-04B6-1EA1C6DB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32B42-BEA1-6BB1-EDFA-0A016B5D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540BA-8C18-4697-8C27-C63A4ED11771}">
  <sheetPr>
    <pageSetUpPr fitToPage="1"/>
  </sheetPr>
  <dimension ref="A1:K23"/>
  <sheetViews>
    <sheetView workbookViewId="0">
      <selection activeCell="C30" sqref="C30"/>
    </sheetView>
  </sheetViews>
  <sheetFormatPr defaultRowHeight="15" x14ac:dyDescent="0.25"/>
  <cols>
    <col min="1" max="1" width="13.5703125" bestFit="1" customWidth="1"/>
    <col min="2" max="7" width="15.28515625" bestFit="1" customWidth="1"/>
    <col min="8" max="10" width="14.28515625" bestFit="1" customWidth="1"/>
    <col min="11" max="11" width="4.5703125" bestFit="1" customWidth="1"/>
  </cols>
  <sheetData>
    <row r="1" spans="1:11" x14ac:dyDescent="0.25">
      <c r="A1" s="77" t="s">
        <v>37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pans="1:11" x14ac:dyDescent="0.25">
      <c r="A2" s="69"/>
      <c r="B2" s="76" t="s">
        <v>38</v>
      </c>
      <c r="C2" s="76"/>
      <c r="D2" s="76"/>
      <c r="E2" s="76" t="s">
        <v>39</v>
      </c>
      <c r="F2" s="76"/>
      <c r="G2" s="76"/>
      <c r="H2" s="76" t="s">
        <v>40</v>
      </c>
      <c r="I2" s="76"/>
      <c r="J2" s="76"/>
      <c r="K2" s="69"/>
    </row>
    <row r="3" spans="1:11" x14ac:dyDescent="0.25">
      <c r="A3" s="69"/>
      <c r="B3" s="69" t="s">
        <v>41</v>
      </c>
      <c r="C3" s="69" t="s">
        <v>42</v>
      </c>
      <c r="D3" s="69" t="s">
        <v>43</v>
      </c>
      <c r="E3" s="69" t="s">
        <v>41</v>
      </c>
      <c r="F3" s="69" t="s">
        <v>42</v>
      </c>
      <c r="G3" s="69" t="s">
        <v>43</v>
      </c>
      <c r="H3" s="69" t="s">
        <v>41</v>
      </c>
      <c r="I3" s="69" t="s">
        <v>42</v>
      </c>
      <c r="J3" s="69" t="s">
        <v>43</v>
      </c>
      <c r="K3" s="69"/>
    </row>
    <row r="4" spans="1:11" x14ac:dyDescent="0.25">
      <c r="A4" s="69" t="s">
        <v>44</v>
      </c>
      <c r="B4" s="70">
        <v>154450800</v>
      </c>
      <c r="C4" s="70">
        <f>B4*0.85</f>
        <v>131283180</v>
      </c>
      <c r="D4" s="70">
        <f>B4*0.7</f>
        <v>108115560</v>
      </c>
      <c r="E4" s="70">
        <v>137236000</v>
      </c>
      <c r="F4" s="70">
        <f>E4*0.85</f>
        <v>116650600</v>
      </c>
      <c r="G4" s="70">
        <f>E4*0.7</f>
        <v>96065200</v>
      </c>
      <c r="H4" s="70">
        <f t="shared" ref="H4:J7" si="0">B4-E4</f>
        <v>17214800</v>
      </c>
      <c r="I4" s="70">
        <f t="shared" si="0"/>
        <v>14632580</v>
      </c>
      <c r="J4" s="70">
        <f t="shared" si="0"/>
        <v>12050360</v>
      </c>
      <c r="K4" s="71">
        <f>H4/B4</f>
        <v>0.1114581471899142</v>
      </c>
    </row>
    <row r="5" spans="1:11" x14ac:dyDescent="0.25">
      <c r="A5" s="69" t="s">
        <v>45</v>
      </c>
      <c r="B5" s="70">
        <v>36794594</v>
      </c>
      <c r="C5" s="70">
        <f>B5*0.85</f>
        <v>31275404.899999999</v>
      </c>
      <c r="D5" s="70">
        <f>B5*0.7</f>
        <v>25756215.799999997</v>
      </c>
      <c r="E5" s="70">
        <v>37692533</v>
      </c>
      <c r="F5" s="70">
        <f>E5*0.85</f>
        <v>32038653.050000001</v>
      </c>
      <c r="G5" s="70">
        <f>E5*0.7</f>
        <v>26384773.099999998</v>
      </c>
      <c r="H5" s="70">
        <f t="shared" si="0"/>
        <v>-897939</v>
      </c>
      <c r="I5" s="70">
        <f t="shared" si="0"/>
        <v>-763248.15000000224</v>
      </c>
      <c r="J5" s="70">
        <f t="shared" si="0"/>
        <v>-628557.30000000075</v>
      </c>
      <c r="K5" s="71">
        <f>H5/B5</f>
        <v>-2.440410131988411E-2</v>
      </c>
    </row>
    <row r="6" spans="1:11" x14ac:dyDescent="0.25">
      <c r="A6" s="69" t="s">
        <v>46</v>
      </c>
      <c r="B6" s="70">
        <v>138449890</v>
      </c>
      <c r="C6" s="70">
        <f>B6*0.85</f>
        <v>117682406.5</v>
      </c>
      <c r="D6" s="70">
        <f>B6*0.7</f>
        <v>96914923</v>
      </c>
      <c r="E6" s="70">
        <v>143447463</v>
      </c>
      <c r="F6" s="70">
        <f>E6*0.85</f>
        <v>121930343.55</v>
      </c>
      <c r="G6" s="70">
        <f>E6*0.7</f>
        <v>100413224.09999999</v>
      </c>
      <c r="H6" s="70">
        <f t="shared" si="0"/>
        <v>-4997573</v>
      </c>
      <c r="I6" s="70">
        <f t="shared" si="0"/>
        <v>-4247937.049999997</v>
      </c>
      <c r="J6" s="70">
        <f t="shared" si="0"/>
        <v>-3498301.099999994</v>
      </c>
      <c r="K6" s="71">
        <f>H6/B6</f>
        <v>-3.6096619506162123E-2</v>
      </c>
    </row>
    <row r="7" spans="1:11" x14ac:dyDescent="0.25">
      <c r="A7" s="69" t="s">
        <v>47</v>
      </c>
      <c r="B7" s="70">
        <v>59592042.670315653</v>
      </c>
      <c r="C7" s="70">
        <f>B7*0.85</f>
        <v>50653236.269768305</v>
      </c>
      <c r="D7" s="70">
        <f>B7*0.7</f>
        <v>41714429.869220957</v>
      </c>
      <c r="E7" s="70">
        <v>63068859</v>
      </c>
      <c r="F7" s="70">
        <f>E7*0.85</f>
        <v>53608530.149999999</v>
      </c>
      <c r="G7" s="70">
        <f>E7*0.7</f>
        <v>44148201.299999997</v>
      </c>
      <c r="H7" s="70">
        <f t="shared" si="0"/>
        <v>-3476816.3296843469</v>
      </c>
      <c r="I7" s="70">
        <f t="shared" si="0"/>
        <v>-2955293.8802316934</v>
      </c>
      <c r="J7" s="70">
        <f t="shared" si="0"/>
        <v>-2433771.4307790399</v>
      </c>
      <c r="K7" s="71">
        <f>H7/B7</f>
        <v>-5.8343634047238989E-2</v>
      </c>
    </row>
    <row r="8" spans="1:11" x14ac:dyDescent="0.25">
      <c r="A8" s="72" t="s">
        <v>48</v>
      </c>
      <c r="B8" s="73">
        <f>SUM(B4:B7)</f>
        <v>389287326.67031562</v>
      </c>
      <c r="C8" s="73">
        <f t="shared" ref="C8:J8" si="1">SUM(C4:C7)</f>
        <v>330894227.66976827</v>
      </c>
      <c r="D8" s="73">
        <f t="shared" si="1"/>
        <v>272501128.66922098</v>
      </c>
      <c r="E8" s="73">
        <f t="shared" si="1"/>
        <v>381444855</v>
      </c>
      <c r="F8" s="73">
        <f t="shared" si="1"/>
        <v>324228126.75</v>
      </c>
      <c r="G8" s="73">
        <f t="shared" si="1"/>
        <v>267011398.5</v>
      </c>
      <c r="H8" s="73">
        <f t="shared" si="1"/>
        <v>7842471.6703156531</v>
      </c>
      <c r="I8" s="73">
        <f t="shared" si="1"/>
        <v>6666100.9197683074</v>
      </c>
      <c r="J8" s="73">
        <f t="shared" si="1"/>
        <v>5489730.1692209654</v>
      </c>
      <c r="K8" s="71">
        <f>H8/B8</f>
        <v>2.0145715344484821E-2</v>
      </c>
    </row>
    <row r="12" spans="1:11" x14ac:dyDescent="0.25">
      <c r="A12" s="77" t="s">
        <v>49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</row>
    <row r="13" spans="1:11" x14ac:dyDescent="0.25">
      <c r="A13" s="69"/>
      <c r="B13" s="76" t="s">
        <v>38</v>
      </c>
      <c r="C13" s="76"/>
      <c r="D13" s="76"/>
      <c r="E13" s="76" t="s">
        <v>39</v>
      </c>
      <c r="F13" s="76"/>
      <c r="G13" s="76"/>
      <c r="H13" s="76" t="s">
        <v>40</v>
      </c>
      <c r="I13" s="76"/>
      <c r="J13" s="76"/>
      <c r="K13" s="69"/>
    </row>
    <row r="14" spans="1:11" x14ac:dyDescent="0.25">
      <c r="A14" s="69"/>
      <c r="B14" s="69" t="s">
        <v>41</v>
      </c>
      <c r="C14" s="69" t="s">
        <v>42</v>
      </c>
      <c r="D14" s="69" t="s">
        <v>43</v>
      </c>
      <c r="E14" s="69" t="s">
        <v>41</v>
      </c>
      <c r="F14" s="69" t="s">
        <v>42</v>
      </c>
      <c r="G14" s="69" t="s">
        <v>43</v>
      </c>
      <c r="H14" s="69" t="s">
        <v>41</v>
      </c>
      <c r="I14" s="69" t="s">
        <v>42</v>
      </c>
      <c r="J14" s="69" t="s">
        <v>43</v>
      </c>
      <c r="K14" s="69"/>
    </row>
    <row r="15" spans="1:11" x14ac:dyDescent="0.25">
      <c r="A15" s="69" t="s">
        <v>44</v>
      </c>
      <c r="B15" s="70">
        <v>154450800</v>
      </c>
      <c r="C15" s="70">
        <f>B15*0.85</f>
        <v>131283180</v>
      </c>
      <c r="D15" s="70">
        <f>B15*0.7</f>
        <v>108115560</v>
      </c>
      <c r="E15" s="70">
        <v>137236000</v>
      </c>
      <c r="F15" s="70">
        <f>E15*0.85</f>
        <v>116650600</v>
      </c>
      <c r="G15" s="70">
        <f>E15*0.7</f>
        <v>96065200</v>
      </c>
      <c r="H15" s="70">
        <f t="shared" ref="H15:J18" si="2">B15-E15</f>
        <v>17214800</v>
      </c>
      <c r="I15" s="70">
        <f t="shared" si="2"/>
        <v>14632580</v>
      </c>
      <c r="J15" s="70">
        <f t="shared" si="2"/>
        <v>12050360</v>
      </c>
      <c r="K15" s="71">
        <f>H15/B15</f>
        <v>0.1114581471899142</v>
      </c>
    </row>
    <row r="16" spans="1:11" x14ac:dyDescent="0.25">
      <c r="A16" s="69" t="s">
        <v>45</v>
      </c>
      <c r="B16" s="70">
        <v>40961993</v>
      </c>
      <c r="C16" s="70">
        <f>B16*0.85</f>
        <v>34817694.049999997</v>
      </c>
      <c r="D16" s="70">
        <f>B16*0.7</f>
        <v>28673395.099999998</v>
      </c>
      <c r="E16" s="70">
        <v>37692533</v>
      </c>
      <c r="F16" s="70">
        <f>E16*0.85</f>
        <v>32038653.050000001</v>
      </c>
      <c r="G16" s="70">
        <f>E16*0.7</f>
        <v>26384773.099999998</v>
      </c>
      <c r="H16" s="70">
        <f t="shared" si="2"/>
        <v>3269460</v>
      </c>
      <c r="I16" s="70">
        <f t="shared" si="2"/>
        <v>2779040.9999999963</v>
      </c>
      <c r="J16" s="70">
        <f t="shared" si="2"/>
        <v>2288622</v>
      </c>
      <c r="K16" s="71">
        <f>H16/B16</f>
        <v>7.9816917111430588E-2</v>
      </c>
    </row>
    <row r="17" spans="1:11" x14ac:dyDescent="0.25">
      <c r="A17" s="69" t="s">
        <v>46</v>
      </c>
      <c r="B17" s="70">
        <v>152949164</v>
      </c>
      <c r="C17" s="70">
        <f>B17*0.85</f>
        <v>130006789.39999999</v>
      </c>
      <c r="D17" s="70">
        <f>B17*0.7</f>
        <v>107064414.8</v>
      </c>
      <c r="E17" s="70">
        <v>143447463</v>
      </c>
      <c r="F17" s="70">
        <f>E17*0.85</f>
        <v>121930343.55</v>
      </c>
      <c r="G17" s="70">
        <f>E17*0.7</f>
        <v>100413224.09999999</v>
      </c>
      <c r="H17" s="70">
        <f t="shared" si="2"/>
        <v>9501701</v>
      </c>
      <c r="I17" s="70">
        <f t="shared" si="2"/>
        <v>8076445.849999994</v>
      </c>
      <c r="J17" s="70">
        <f t="shared" si="2"/>
        <v>6651190.700000003</v>
      </c>
      <c r="K17" s="71">
        <f>H17/B17</f>
        <v>6.2123262079418755E-2</v>
      </c>
    </row>
    <row r="18" spans="1:11" x14ac:dyDescent="0.25">
      <c r="A18" s="69" t="s">
        <v>47</v>
      </c>
      <c r="B18" s="70">
        <v>79343004</v>
      </c>
      <c r="C18" s="70">
        <f>B18*0.85</f>
        <v>67441553.399999991</v>
      </c>
      <c r="D18" s="70">
        <f>B18*0.7</f>
        <v>55540102.799999997</v>
      </c>
      <c r="E18" s="70">
        <v>63068859</v>
      </c>
      <c r="F18" s="70">
        <f>E18*0.85</f>
        <v>53608530.149999999</v>
      </c>
      <c r="G18" s="70">
        <f>E18*0.7</f>
        <v>44148201.299999997</v>
      </c>
      <c r="H18" s="70">
        <f t="shared" si="2"/>
        <v>16274145</v>
      </c>
      <c r="I18" s="70">
        <f t="shared" si="2"/>
        <v>13833023.249999993</v>
      </c>
      <c r="J18" s="70">
        <f t="shared" si="2"/>
        <v>11391901.5</v>
      </c>
      <c r="K18" s="71">
        <f>H18/B18</f>
        <v>0.20511127862010367</v>
      </c>
    </row>
    <row r="19" spans="1:11" x14ac:dyDescent="0.25">
      <c r="A19" s="72" t="s">
        <v>48</v>
      </c>
      <c r="B19" s="73">
        <f>SUM(B15:B18)</f>
        <v>427704961</v>
      </c>
      <c r="C19" s="73">
        <f t="shared" ref="C19:J19" si="3">SUM(C15:C18)</f>
        <v>363549216.84999996</v>
      </c>
      <c r="D19" s="73">
        <f t="shared" si="3"/>
        <v>299393472.69999999</v>
      </c>
      <c r="E19" s="73">
        <f t="shared" si="3"/>
        <v>381444855</v>
      </c>
      <c r="F19" s="73">
        <f t="shared" si="3"/>
        <v>324228126.75</v>
      </c>
      <c r="G19" s="73">
        <f t="shared" si="3"/>
        <v>267011398.5</v>
      </c>
      <c r="H19" s="73">
        <f t="shared" si="3"/>
        <v>46260106</v>
      </c>
      <c r="I19" s="73">
        <f t="shared" si="3"/>
        <v>39321090.099999979</v>
      </c>
      <c r="J19" s="73">
        <f t="shared" si="3"/>
        <v>32382074.200000003</v>
      </c>
      <c r="K19" s="71">
        <f>H19/B19</f>
        <v>0.10815891845594</v>
      </c>
    </row>
    <row r="23" spans="1:11" x14ac:dyDescent="0.25">
      <c r="A23" s="72" t="s">
        <v>50</v>
      </c>
      <c r="B23" s="74">
        <f>B19-B8</f>
        <v>38417634.329684377</v>
      </c>
      <c r="C23" s="74">
        <f t="shared" ref="C23:J23" si="4">C19-C8</f>
        <v>32654989.18023169</v>
      </c>
      <c r="D23" s="74">
        <f t="shared" si="4"/>
        <v>26892344.030779004</v>
      </c>
      <c r="E23" s="74">
        <f t="shared" si="4"/>
        <v>0</v>
      </c>
      <c r="F23" s="74">
        <f t="shared" si="4"/>
        <v>0</v>
      </c>
      <c r="G23" s="74">
        <f t="shared" si="4"/>
        <v>0</v>
      </c>
      <c r="H23" s="74">
        <f t="shared" si="4"/>
        <v>38417634.329684347</v>
      </c>
      <c r="I23" s="74">
        <f t="shared" si="4"/>
        <v>32654989.180231672</v>
      </c>
      <c r="J23" s="74">
        <f t="shared" si="4"/>
        <v>26892344.030779038</v>
      </c>
      <c r="K23" s="72"/>
    </row>
  </sheetData>
  <mergeCells count="8">
    <mergeCell ref="B13:D13"/>
    <mergeCell ref="E13:G13"/>
    <mergeCell ref="H13:J13"/>
    <mergeCell ref="A1:K1"/>
    <mergeCell ref="B2:D2"/>
    <mergeCell ref="E2:G2"/>
    <mergeCell ref="H2:J2"/>
    <mergeCell ref="A12:K12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69"/>
  <sheetViews>
    <sheetView tabSelected="1" zoomScale="115" zoomScaleNormal="115" workbookViewId="0">
      <pane xSplit="2" ySplit="7" topLeftCell="C18" activePane="bottomRight" state="frozen"/>
      <selection pane="topRight" activeCell="C1" sqref="C1"/>
      <selection pane="bottomLeft" activeCell="A7" sqref="A7"/>
      <selection pane="bottomRight" activeCell="B31" sqref="B31"/>
    </sheetView>
  </sheetViews>
  <sheetFormatPr defaultColWidth="12.5703125" defaultRowHeight="16.5" x14ac:dyDescent="0.3"/>
  <cols>
    <col min="1" max="1" width="28.5703125" style="16" bestFit="1" customWidth="1"/>
    <col min="2" max="2" width="14.85546875" style="60" bestFit="1" customWidth="1"/>
    <col min="3" max="3" width="14.85546875" style="1" bestFit="1" customWidth="1"/>
    <col min="4" max="4" width="11.85546875" style="1" bestFit="1" customWidth="1"/>
    <col min="5" max="5" width="14.85546875" style="1" bestFit="1" customWidth="1"/>
    <col min="6" max="6" width="9.85546875" style="4" bestFit="1" customWidth="1"/>
    <col min="7" max="7" width="7.140625" style="4" bestFit="1" customWidth="1"/>
    <col min="8" max="8" width="12.28515625" style="4" bestFit="1" customWidth="1"/>
    <col min="9" max="9" width="13.85546875" style="4" bestFit="1" customWidth="1"/>
    <col min="10" max="10" width="8.85546875" style="1" bestFit="1" customWidth="1"/>
    <col min="11" max="11" width="14" style="4" bestFit="1" customWidth="1"/>
    <col min="12" max="12" width="13.85546875" style="1" bestFit="1" customWidth="1"/>
    <col min="13" max="13" width="14.28515625" style="4" bestFit="1" customWidth="1"/>
    <col min="14" max="14" width="14.85546875" style="4" bestFit="1" customWidth="1"/>
    <col min="15" max="16384" width="12.5703125" style="1"/>
  </cols>
  <sheetData>
    <row r="1" spans="1:14" x14ac:dyDescent="0.3">
      <c r="A1" s="6" t="s">
        <v>11</v>
      </c>
      <c r="B1" s="49"/>
    </row>
    <row r="2" spans="1:14" x14ac:dyDescent="0.3">
      <c r="A2" s="12" t="s">
        <v>9</v>
      </c>
      <c r="B2" s="14">
        <v>12850.5</v>
      </c>
      <c r="C2" s="41" t="s">
        <v>33</v>
      </c>
      <c r="F2" s="1"/>
      <c r="G2" s="1"/>
      <c r="H2" s="1"/>
      <c r="J2" s="4"/>
      <c r="L2" s="4"/>
      <c r="M2" s="1"/>
      <c r="N2" s="1"/>
    </row>
    <row r="3" spans="1:14" x14ac:dyDescent="0.3">
      <c r="A3" s="13" t="s">
        <v>5</v>
      </c>
      <c r="B3" s="51">
        <v>5000</v>
      </c>
      <c r="C3" s="14">
        <v>1650</v>
      </c>
      <c r="E3" s="18"/>
      <c r="F3" s="19"/>
      <c r="G3" s="1"/>
      <c r="J3" s="4"/>
      <c r="L3" s="4"/>
      <c r="M3" s="1"/>
      <c r="N3" s="1"/>
    </row>
    <row r="4" spans="1:14" x14ac:dyDescent="0.3">
      <c r="A4" s="42" t="s">
        <v>16</v>
      </c>
      <c r="B4" s="50">
        <f>ROUND((B2*B3),0)</f>
        <v>64252500</v>
      </c>
      <c r="C4" s="14">
        <f>C3*B2</f>
        <v>21203325</v>
      </c>
      <c r="E4" s="18"/>
      <c r="F4" s="20"/>
      <c r="G4" s="1"/>
      <c r="J4" s="4"/>
      <c r="L4" s="4"/>
      <c r="M4" s="1"/>
      <c r="N4" s="1"/>
    </row>
    <row r="5" spans="1:14" x14ac:dyDescent="0.3">
      <c r="A5" s="43"/>
      <c r="B5" s="52"/>
      <c r="C5" s="44"/>
      <c r="E5" s="18"/>
      <c r="F5" s="20"/>
      <c r="G5" s="1"/>
      <c r="J5" s="4"/>
      <c r="L5" s="4"/>
      <c r="M5" s="1"/>
      <c r="N5" s="1"/>
    </row>
    <row r="6" spans="1:14" x14ac:dyDescent="0.3">
      <c r="A6" s="6" t="s">
        <v>12</v>
      </c>
      <c r="B6" s="49"/>
      <c r="D6" s="17"/>
    </row>
    <row r="7" spans="1:14" s="2" customFormat="1" ht="45" customHeight="1" x14ac:dyDescent="0.2">
      <c r="A7" s="47" t="s">
        <v>17</v>
      </c>
      <c r="B7" s="53" t="s">
        <v>31</v>
      </c>
      <c r="C7" s="47" t="s">
        <v>0</v>
      </c>
      <c r="D7" s="47" t="s">
        <v>1</v>
      </c>
      <c r="E7" s="47" t="s">
        <v>2</v>
      </c>
      <c r="F7" s="47" t="s">
        <v>18</v>
      </c>
      <c r="G7" s="47" t="s">
        <v>19</v>
      </c>
      <c r="H7" s="47" t="s">
        <v>20</v>
      </c>
      <c r="I7" s="47" t="s">
        <v>3</v>
      </c>
      <c r="J7" s="47" t="s">
        <v>4</v>
      </c>
      <c r="K7" s="47" t="s">
        <v>14</v>
      </c>
      <c r="L7" s="47" t="s">
        <v>21</v>
      </c>
      <c r="M7" s="47" t="s">
        <v>15</v>
      </c>
      <c r="N7" s="47" t="s">
        <v>22</v>
      </c>
    </row>
    <row r="8" spans="1:14" s="22" customFormat="1" x14ac:dyDescent="0.2">
      <c r="A8" s="21"/>
      <c r="B8" s="53" t="s">
        <v>30</v>
      </c>
      <c r="C8" s="47"/>
      <c r="D8" s="47"/>
      <c r="E8" s="47"/>
      <c r="F8" s="3" t="s">
        <v>23</v>
      </c>
      <c r="G8" s="47"/>
      <c r="H8" s="47"/>
      <c r="I8" s="3"/>
      <c r="J8" s="3"/>
      <c r="K8" s="3" t="s">
        <v>23</v>
      </c>
      <c r="L8" s="3" t="s">
        <v>23</v>
      </c>
      <c r="M8" s="3" t="s">
        <v>23</v>
      </c>
      <c r="N8" s="3" t="s">
        <v>23</v>
      </c>
    </row>
    <row r="9" spans="1:14" s="22" customFormat="1" x14ac:dyDescent="0.3">
      <c r="A9" s="68" t="s">
        <v>34</v>
      </c>
      <c r="B9" s="68">
        <v>4450.5</v>
      </c>
      <c r="C9" s="23">
        <v>2011</v>
      </c>
      <c r="D9" s="23">
        <v>2024</v>
      </c>
      <c r="E9" s="61">
        <v>50</v>
      </c>
      <c r="F9" s="61">
        <v>20000</v>
      </c>
      <c r="G9" s="61">
        <f>D9-C9</f>
        <v>13</v>
      </c>
      <c r="H9" s="61">
        <f>E9-G9</f>
        <v>37</v>
      </c>
      <c r="I9" s="61">
        <f>IF(G9&gt;=5,90*G9/E9,0)</f>
        <v>23.4</v>
      </c>
      <c r="J9" s="61">
        <f>F9/100*I9</f>
        <v>4680</v>
      </c>
      <c r="K9" s="61">
        <f>ROUND((F9-J9),0)</f>
        <v>15320</v>
      </c>
      <c r="L9" s="61">
        <f>N9-M9</f>
        <v>20828340</v>
      </c>
      <c r="M9" s="61">
        <f>ROUND(K9*B9,0)</f>
        <v>68181660</v>
      </c>
      <c r="N9" s="61">
        <f>ROUND(F9*B9,0)</f>
        <v>89010000</v>
      </c>
    </row>
    <row r="10" spans="1:14" s="22" customFormat="1" x14ac:dyDescent="0.3">
      <c r="A10" s="68" t="s">
        <v>35</v>
      </c>
      <c r="B10" s="68">
        <v>623.75</v>
      </c>
      <c r="C10" s="23">
        <v>2011</v>
      </c>
      <c r="D10" s="23">
        <v>2024</v>
      </c>
      <c r="E10" s="61">
        <v>50</v>
      </c>
      <c r="F10" s="61">
        <v>20000</v>
      </c>
      <c r="G10" s="61">
        <f>D10-C10</f>
        <v>13</v>
      </c>
      <c r="H10" s="61">
        <f>E10-G10</f>
        <v>37</v>
      </c>
      <c r="I10" s="61">
        <f>IF(G10&gt;=5,90*G10/E10,0)</f>
        <v>23.4</v>
      </c>
      <c r="J10" s="61">
        <f>F10/100*I10</f>
        <v>4680</v>
      </c>
      <c r="K10" s="61">
        <f>ROUND((F10-J10),0)</f>
        <v>15320</v>
      </c>
      <c r="L10" s="61">
        <f>N10-M10</f>
        <v>2919150</v>
      </c>
      <c r="M10" s="61">
        <f>ROUND(K10*B10,0)</f>
        <v>9555850</v>
      </c>
      <c r="N10" s="61">
        <f>ROUND(F10*B10,0)</f>
        <v>12475000</v>
      </c>
    </row>
    <row r="11" spans="1:14" s="22" customFormat="1" x14ac:dyDescent="0.3">
      <c r="A11" s="68" t="s">
        <v>36</v>
      </c>
      <c r="B11" s="68">
        <v>75</v>
      </c>
      <c r="C11" s="23">
        <v>2011</v>
      </c>
      <c r="D11" s="23">
        <v>2024</v>
      </c>
      <c r="E11" s="61">
        <v>50</v>
      </c>
      <c r="F11" s="61">
        <v>18000</v>
      </c>
      <c r="G11" s="61">
        <f t="shared" ref="G11" si="0">D11-C11</f>
        <v>13</v>
      </c>
      <c r="H11" s="61">
        <f t="shared" ref="H11" si="1">E11-G11</f>
        <v>37</v>
      </c>
      <c r="I11" s="61">
        <f t="shared" ref="I11" si="2">IF(G11&gt;=5,90*G11/E11,0)</f>
        <v>23.4</v>
      </c>
      <c r="J11" s="61">
        <f t="shared" ref="J11" si="3">F11/100*I11</f>
        <v>4212</v>
      </c>
      <c r="K11" s="61">
        <f t="shared" ref="K11" si="4">ROUND((F11-J11),0)</f>
        <v>13788</v>
      </c>
      <c r="L11" s="61">
        <f t="shared" ref="L11" si="5">N11-M11</f>
        <v>315900</v>
      </c>
      <c r="M11" s="61">
        <f t="shared" ref="M11" si="6">ROUND(K11*B11,0)</f>
        <v>1034100</v>
      </c>
      <c r="N11" s="61">
        <f t="shared" ref="N11" si="7">ROUND(F11*B11,0)</f>
        <v>1350000</v>
      </c>
    </row>
    <row r="12" spans="1:14" s="26" customFormat="1" x14ac:dyDescent="0.3">
      <c r="A12" s="25" t="s">
        <v>24</v>
      </c>
      <c r="B12" s="65">
        <f>SUM(B9:B11)</f>
        <v>5149.25</v>
      </c>
      <c r="C12" s="64"/>
      <c r="D12" s="64"/>
      <c r="E12" s="62"/>
      <c r="F12" s="61"/>
      <c r="G12" s="63"/>
      <c r="H12" s="63"/>
      <c r="I12" s="63"/>
      <c r="J12" s="63"/>
      <c r="K12" s="63"/>
      <c r="L12" s="65">
        <f>SUM(L9:L11)</f>
        <v>24063390</v>
      </c>
      <c r="M12" s="65">
        <f>SUM(M9:M11)</f>
        <v>78771610</v>
      </c>
      <c r="N12" s="65">
        <f>SUM(N9:N11)</f>
        <v>102835000</v>
      </c>
    </row>
    <row r="13" spans="1:14" x14ac:dyDescent="0.3">
      <c r="B13" s="54"/>
      <c r="C13" s="24"/>
      <c r="D13" s="24"/>
      <c r="E13" s="24"/>
      <c r="F13" s="61"/>
      <c r="G13" s="28"/>
      <c r="H13" s="28"/>
      <c r="I13" s="28"/>
      <c r="J13" s="24"/>
      <c r="K13" s="29"/>
      <c r="L13" s="30"/>
      <c r="M13" s="28"/>
      <c r="N13" s="31"/>
    </row>
    <row r="14" spans="1:14" x14ac:dyDescent="0.3">
      <c r="A14" s="45" t="s">
        <v>25</v>
      </c>
      <c r="B14" s="55"/>
      <c r="C14" s="24"/>
      <c r="D14" s="24"/>
      <c r="F14" s="31"/>
      <c r="G14" s="31"/>
      <c r="H14" s="1"/>
      <c r="I14" s="1"/>
      <c r="K14" s="1"/>
      <c r="M14" s="1"/>
      <c r="N14" s="1"/>
    </row>
    <row r="15" spans="1:14" x14ac:dyDescent="0.3">
      <c r="A15" s="12" t="s">
        <v>26</v>
      </c>
      <c r="B15" s="50">
        <v>0</v>
      </c>
      <c r="C15" s="24"/>
      <c r="D15" s="24"/>
      <c r="F15" s="31"/>
      <c r="G15" s="31"/>
      <c r="H15" s="1"/>
      <c r="I15" s="1"/>
      <c r="K15" s="1"/>
      <c r="M15" s="1"/>
      <c r="N15" s="1"/>
    </row>
    <row r="16" spans="1:14" x14ac:dyDescent="0.3">
      <c r="A16" s="13" t="s">
        <v>5</v>
      </c>
      <c r="B16" s="51">
        <v>0</v>
      </c>
      <c r="C16" s="24"/>
      <c r="D16" s="24"/>
      <c r="F16" s="31"/>
      <c r="G16" s="31"/>
      <c r="H16" s="1"/>
      <c r="I16" s="1"/>
      <c r="K16" s="1"/>
      <c r="M16" s="1"/>
      <c r="N16" s="1"/>
    </row>
    <row r="17" spans="1:14" x14ac:dyDescent="0.3">
      <c r="A17" s="13" t="s">
        <v>6</v>
      </c>
      <c r="B17" s="50">
        <f>ROUND((B15*B16),0)</f>
        <v>0</v>
      </c>
      <c r="C17" s="24"/>
      <c r="D17" s="24"/>
      <c r="F17" s="31"/>
      <c r="G17" s="31"/>
      <c r="H17" s="1"/>
      <c r="I17" s="1"/>
      <c r="K17" s="1"/>
      <c r="M17" s="1"/>
      <c r="N17" s="1"/>
    </row>
    <row r="18" spans="1:14" x14ac:dyDescent="0.3">
      <c r="A18" s="27"/>
      <c r="B18" s="66"/>
      <c r="C18" s="24"/>
      <c r="D18" s="24"/>
      <c r="F18" s="31"/>
      <c r="G18" s="31"/>
      <c r="H18" s="1"/>
      <c r="I18" s="1"/>
      <c r="K18" s="1"/>
      <c r="M18" s="1"/>
      <c r="N18" s="1"/>
    </row>
    <row r="19" spans="1:14" ht="16.5" customHeight="1" x14ac:dyDescent="0.3">
      <c r="A19" s="46" t="s">
        <v>13</v>
      </c>
      <c r="B19" s="56"/>
      <c r="C19" s="24"/>
      <c r="D19" s="28"/>
      <c r="F19" s="28"/>
      <c r="G19" s="1"/>
      <c r="H19" s="1"/>
      <c r="I19" s="1"/>
      <c r="K19" s="1"/>
      <c r="M19" s="1"/>
      <c r="N19" s="1"/>
    </row>
    <row r="20" spans="1:14" x14ac:dyDescent="0.3">
      <c r="A20" s="12" t="s">
        <v>9</v>
      </c>
      <c r="B20" s="50">
        <f>B2-B9-B11</f>
        <v>8325</v>
      </c>
      <c r="C20" s="32"/>
      <c r="D20" s="4"/>
      <c r="G20" s="1"/>
      <c r="H20" s="1"/>
      <c r="I20" s="1"/>
      <c r="K20" s="1"/>
      <c r="M20" s="1"/>
      <c r="N20" s="1"/>
    </row>
    <row r="21" spans="1:14" x14ac:dyDescent="0.3">
      <c r="A21" s="13" t="s">
        <v>5</v>
      </c>
      <c r="B21" s="51">
        <v>0</v>
      </c>
      <c r="C21" s="17"/>
      <c r="D21" s="4"/>
      <c r="G21" s="1"/>
      <c r="H21" s="1"/>
      <c r="I21" s="1"/>
      <c r="K21" s="1"/>
      <c r="M21" s="1"/>
      <c r="N21" s="1"/>
    </row>
    <row r="22" spans="1:14" x14ac:dyDescent="0.3">
      <c r="A22" s="13" t="s">
        <v>6</v>
      </c>
      <c r="B22" s="50">
        <f>ROUND((B20*B21),0)</f>
        <v>0</v>
      </c>
      <c r="C22" s="5"/>
      <c r="D22" s="4"/>
      <c r="G22" s="1"/>
      <c r="H22" s="1"/>
      <c r="I22" s="1"/>
      <c r="K22" s="1"/>
      <c r="M22" s="1"/>
      <c r="N22" s="1"/>
    </row>
    <row r="23" spans="1:14" x14ac:dyDescent="0.3">
      <c r="B23" s="57"/>
      <c r="C23" s="5"/>
      <c r="D23" s="5"/>
      <c r="F23" s="11"/>
      <c r="H23" s="7"/>
      <c r="I23" s="7"/>
      <c r="L23" s="11"/>
    </row>
    <row r="24" spans="1:14" x14ac:dyDescent="0.3">
      <c r="A24" s="33"/>
      <c r="B24" s="58" t="s">
        <v>6</v>
      </c>
      <c r="C24" s="11"/>
      <c r="D24" s="4"/>
      <c r="E24" s="7"/>
      <c r="F24" s="7"/>
      <c r="G24" s="1"/>
      <c r="I24" s="11"/>
      <c r="J24" s="4"/>
      <c r="L24" s="4"/>
      <c r="M24" s="1"/>
      <c r="N24" s="1"/>
    </row>
    <row r="25" spans="1:14" x14ac:dyDescent="0.3">
      <c r="A25" s="34" t="s">
        <v>11</v>
      </c>
      <c r="B25" s="50">
        <f>B4</f>
        <v>64252500</v>
      </c>
      <c r="C25" s="9"/>
      <c r="D25" s="9"/>
      <c r="E25" s="10"/>
      <c r="F25" s="10"/>
      <c r="G25" s="1"/>
      <c r="I25" s="8"/>
      <c r="J25" s="4"/>
      <c r="L25" s="4"/>
      <c r="M25" s="1"/>
      <c r="N25" s="1"/>
    </row>
    <row r="26" spans="1:14" x14ac:dyDescent="0.3">
      <c r="A26" s="34" t="s">
        <v>12</v>
      </c>
      <c r="B26" s="50">
        <f>M12</f>
        <v>78771610</v>
      </c>
      <c r="C26" s="9"/>
      <c r="D26" s="9"/>
      <c r="E26" s="10"/>
      <c r="F26" s="10"/>
      <c r="G26" s="1"/>
      <c r="I26" s="10"/>
      <c r="J26" s="4"/>
      <c r="L26" s="4"/>
      <c r="M26" s="1"/>
      <c r="N26" s="1"/>
    </row>
    <row r="27" spans="1:14" x14ac:dyDescent="0.3">
      <c r="A27" s="34" t="s">
        <v>27</v>
      </c>
      <c r="B27" s="50">
        <f>B17</f>
        <v>0</v>
      </c>
      <c r="C27" s="9"/>
      <c r="D27" s="9"/>
      <c r="E27" s="10"/>
      <c r="F27" s="10"/>
      <c r="G27" s="1"/>
      <c r="I27" s="10"/>
      <c r="J27" s="4"/>
      <c r="L27" s="4"/>
      <c r="M27" s="1"/>
      <c r="N27" s="1"/>
    </row>
    <row r="28" spans="1:14" x14ac:dyDescent="0.3">
      <c r="A28" s="34" t="s">
        <v>10</v>
      </c>
      <c r="B28" s="50">
        <f>B22</f>
        <v>0</v>
      </c>
      <c r="C28" s="9"/>
      <c r="D28" s="9"/>
      <c r="E28" s="10"/>
      <c r="F28" s="10"/>
      <c r="G28" s="1"/>
      <c r="I28" s="10"/>
      <c r="J28" s="4"/>
      <c r="L28" s="4"/>
      <c r="M28" s="1"/>
      <c r="N28" s="1"/>
    </row>
    <row r="29" spans="1:14" x14ac:dyDescent="0.3">
      <c r="A29" s="35" t="s">
        <v>32</v>
      </c>
      <c r="B29" s="59">
        <f>B25+B26+B27+B28</f>
        <v>143024110</v>
      </c>
      <c r="C29" s="59">
        <v>138449890</v>
      </c>
      <c r="D29" s="20">
        <f>C29/B29</f>
        <v>0.96801783978938938</v>
      </c>
      <c r="E29" s="57">
        <v>153714779</v>
      </c>
      <c r="F29" s="75">
        <f>B29/E29</f>
        <v>0.93045126129348954</v>
      </c>
      <c r="G29" s="1"/>
      <c r="I29" s="1"/>
      <c r="J29" s="4"/>
      <c r="L29" s="4"/>
      <c r="M29" s="1"/>
      <c r="N29" s="1"/>
    </row>
    <row r="30" spans="1:14" x14ac:dyDescent="0.3">
      <c r="A30" s="35" t="s">
        <v>7</v>
      </c>
      <c r="B30" s="59">
        <f>ROUND(B29*0.85,0)</f>
        <v>121570494</v>
      </c>
      <c r="C30" s="59">
        <v>117682407</v>
      </c>
      <c r="D30" s="4"/>
      <c r="E30" s="15"/>
      <c r="F30" s="15"/>
      <c r="G30" s="1"/>
      <c r="I30" s="1"/>
      <c r="J30" s="4"/>
      <c r="L30" s="4"/>
      <c r="M30" s="1"/>
      <c r="N30" s="1"/>
    </row>
    <row r="31" spans="1:14" x14ac:dyDescent="0.3">
      <c r="A31" s="35" t="s">
        <v>8</v>
      </c>
      <c r="B31" s="59">
        <f>MROUND(B29*70%,1)</f>
        <v>100116877</v>
      </c>
      <c r="C31" s="59">
        <v>96914923</v>
      </c>
      <c r="D31" s="4"/>
      <c r="E31" s="15"/>
      <c r="F31" s="15"/>
      <c r="G31" s="1"/>
      <c r="I31" s="1"/>
      <c r="J31" s="4"/>
      <c r="L31" s="4"/>
      <c r="M31" s="1"/>
      <c r="N31" s="1"/>
    </row>
    <row r="32" spans="1:14" x14ac:dyDescent="0.3">
      <c r="A32" s="35" t="s">
        <v>28</v>
      </c>
      <c r="B32" s="59">
        <f>N12</f>
        <v>102835000</v>
      </c>
      <c r="C32" s="59">
        <v>102835000</v>
      </c>
      <c r="D32" s="4"/>
      <c r="E32" s="4"/>
      <c r="G32" s="1"/>
      <c r="I32" s="1"/>
      <c r="J32" s="4"/>
      <c r="L32" s="36"/>
      <c r="M32" s="1"/>
      <c r="N32" s="1"/>
    </row>
    <row r="33" spans="1:14" x14ac:dyDescent="0.3">
      <c r="A33" s="34" t="s">
        <v>29</v>
      </c>
      <c r="B33" s="59">
        <f>C4+M12</f>
        <v>99974935</v>
      </c>
      <c r="C33" s="59">
        <v>101825965</v>
      </c>
      <c r="D33" s="4"/>
      <c r="E33" s="4"/>
      <c r="G33" s="1"/>
      <c r="I33" s="1"/>
      <c r="J33" s="4"/>
      <c r="L33" s="36"/>
      <c r="M33" s="1"/>
      <c r="N33" s="1"/>
    </row>
    <row r="34" spans="1:14" x14ac:dyDescent="0.3">
      <c r="A34" s="1"/>
    </row>
    <row r="35" spans="1:14" x14ac:dyDescent="0.3">
      <c r="A35" s="1"/>
      <c r="L35" s="37"/>
    </row>
    <row r="36" spans="1:14" x14ac:dyDescent="0.3">
      <c r="A36" s="1"/>
      <c r="L36" s="37"/>
    </row>
    <row r="37" spans="1:14" x14ac:dyDescent="0.3">
      <c r="A37" s="1"/>
      <c r="L37" s="37"/>
    </row>
    <row r="38" spans="1:14" x14ac:dyDescent="0.3">
      <c r="A38" s="1"/>
      <c r="L38" s="37"/>
    </row>
    <row r="39" spans="1:14" x14ac:dyDescent="0.3">
      <c r="A39" s="1"/>
      <c r="L39" s="37"/>
    </row>
    <row r="40" spans="1:14" x14ac:dyDescent="0.3">
      <c r="A40" s="1"/>
      <c r="L40" s="37"/>
    </row>
    <row r="41" spans="1:14" x14ac:dyDescent="0.3">
      <c r="A41" s="1"/>
      <c r="L41" s="37"/>
    </row>
    <row r="42" spans="1:14" x14ac:dyDescent="0.3">
      <c r="A42" s="1"/>
    </row>
    <row r="43" spans="1:14" x14ac:dyDescent="0.3">
      <c r="A43" s="1"/>
    </row>
    <row r="44" spans="1:14" x14ac:dyDescent="0.3">
      <c r="A44" s="1"/>
      <c r="B44" s="49"/>
    </row>
    <row r="45" spans="1:14" x14ac:dyDescent="0.3">
      <c r="A45" s="1"/>
      <c r="B45" s="49"/>
    </row>
    <row r="46" spans="1:14" x14ac:dyDescent="0.3">
      <c r="A46" s="1"/>
      <c r="B46" s="49"/>
    </row>
    <row r="47" spans="1:14" x14ac:dyDescent="0.3">
      <c r="A47" s="1"/>
      <c r="B47" s="49"/>
    </row>
    <row r="48" spans="1:14" x14ac:dyDescent="0.3">
      <c r="A48" s="1"/>
      <c r="B48" s="49"/>
    </row>
    <row r="49" spans="1:10" x14ac:dyDescent="0.3">
      <c r="A49" s="1"/>
      <c r="B49" s="49"/>
    </row>
    <row r="50" spans="1:10" x14ac:dyDescent="0.3">
      <c r="A50" s="1"/>
      <c r="B50" s="49"/>
    </row>
    <row r="51" spans="1:10" x14ac:dyDescent="0.3">
      <c r="A51" s="1"/>
      <c r="B51" s="49"/>
    </row>
    <row r="52" spans="1:10" x14ac:dyDescent="0.3">
      <c r="A52" s="1"/>
      <c r="B52" s="49"/>
    </row>
    <row r="53" spans="1:10" x14ac:dyDescent="0.3">
      <c r="A53" s="1"/>
      <c r="B53" s="49"/>
      <c r="F53" s="38"/>
      <c r="G53" s="38"/>
      <c r="H53" s="38"/>
      <c r="I53" s="38"/>
      <c r="J53" s="6"/>
    </row>
    <row r="54" spans="1:10" x14ac:dyDescent="0.3">
      <c r="A54" s="1"/>
      <c r="B54" s="49"/>
      <c r="F54" s="36"/>
      <c r="G54" s="1"/>
      <c r="H54" s="36"/>
      <c r="I54" s="36"/>
    </row>
    <row r="55" spans="1:10" x14ac:dyDescent="0.3">
      <c r="A55" s="1"/>
      <c r="B55" s="49"/>
      <c r="F55" s="36"/>
      <c r="G55" s="36"/>
      <c r="H55" s="48"/>
      <c r="I55" s="48"/>
    </row>
    <row r="56" spans="1:10" x14ac:dyDescent="0.3">
      <c r="A56" s="1"/>
      <c r="B56" s="49"/>
      <c r="F56" s="36"/>
      <c r="G56" s="36"/>
      <c r="H56" s="36"/>
      <c r="I56" s="36"/>
    </row>
    <row r="57" spans="1:10" x14ac:dyDescent="0.3">
      <c r="A57" s="1"/>
      <c r="B57" s="49"/>
      <c r="F57" s="36"/>
      <c r="G57" s="39"/>
      <c r="H57" s="36"/>
      <c r="I57" s="36"/>
    </row>
    <row r="58" spans="1:10" x14ac:dyDescent="0.3">
      <c r="A58" s="1"/>
      <c r="B58" s="49"/>
      <c r="F58" s="36"/>
      <c r="G58" s="36"/>
      <c r="H58" s="36"/>
      <c r="I58" s="36"/>
    </row>
    <row r="59" spans="1:10" x14ac:dyDescent="0.3">
      <c r="A59" s="1"/>
      <c r="B59" s="49"/>
      <c r="F59" s="36"/>
      <c r="G59" s="36"/>
      <c r="H59" s="36"/>
      <c r="I59" s="36"/>
    </row>
    <row r="60" spans="1:10" x14ac:dyDescent="0.3">
      <c r="A60" s="1"/>
      <c r="B60" s="49"/>
      <c r="F60" s="36"/>
      <c r="G60" s="36"/>
      <c r="H60" s="36"/>
      <c r="I60" s="36"/>
    </row>
    <row r="61" spans="1:10" x14ac:dyDescent="0.3">
      <c r="A61" s="1"/>
      <c r="B61" s="49"/>
      <c r="F61" s="36"/>
      <c r="G61" s="36"/>
      <c r="H61" s="36"/>
      <c r="I61" s="36"/>
    </row>
    <row r="62" spans="1:10" x14ac:dyDescent="0.3">
      <c r="A62" s="1"/>
      <c r="B62" s="49"/>
      <c r="F62" s="36"/>
      <c r="G62" s="36"/>
      <c r="H62" s="36"/>
      <c r="I62" s="36"/>
    </row>
    <row r="63" spans="1:10" x14ac:dyDescent="0.3">
      <c r="A63" s="1"/>
      <c r="B63" s="49"/>
      <c r="F63" s="36"/>
      <c r="G63" s="36"/>
      <c r="H63" s="36"/>
      <c r="I63" s="36"/>
    </row>
    <row r="64" spans="1:10" x14ac:dyDescent="0.3">
      <c r="A64" s="1"/>
      <c r="B64" s="49"/>
    </row>
    <row r="65" spans="1:6" x14ac:dyDescent="0.3">
      <c r="A65" s="1"/>
      <c r="B65" s="49"/>
    </row>
    <row r="66" spans="1:6" x14ac:dyDescent="0.3">
      <c r="A66" s="1"/>
      <c r="B66" s="49"/>
    </row>
    <row r="67" spans="1:6" x14ac:dyDescent="0.3">
      <c r="A67" s="1"/>
      <c r="B67" s="49"/>
    </row>
    <row r="68" spans="1:6" x14ac:dyDescent="0.3">
      <c r="A68" s="1"/>
      <c r="B68" s="49"/>
    </row>
    <row r="69" spans="1:6" x14ac:dyDescent="0.3">
      <c r="A69" s="1"/>
      <c r="B69" s="49"/>
      <c r="F69" s="40"/>
    </row>
    <row r="70" spans="1:6" x14ac:dyDescent="0.3">
      <c r="A70" s="1"/>
      <c r="B70" s="49"/>
      <c r="F70" s="40"/>
    </row>
    <row r="71" spans="1:6" x14ac:dyDescent="0.3">
      <c r="A71" s="1"/>
      <c r="B71" s="49"/>
      <c r="F71" s="40"/>
    </row>
    <row r="72" spans="1:6" x14ac:dyDescent="0.3">
      <c r="A72" s="1"/>
      <c r="B72" s="49"/>
      <c r="F72" s="40"/>
    </row>
    <row r="73" spans="1:6" x14ac:dyDescent="0.3">
      <c r="A73" s="1"/>
      <c r="B73" s="49"/>
      <c r="F73" s="40"/>
    </row>
    <row r="74" spans="1:6" x14ac:dyDescent="0.3">
      <c r="A74" s="1"/>
      <c r="B74" s="49"/>
      <c r="F74" s="40"/>
    </row>
    <row r="75" spans="1:6" x14ac:dyDescent="0.3">
      <c r="A75" s="1"/>
      <c r="B75" s="49"/>
      <c r="F75" s="40"/>
    </row>
    <row r="76" spans="1:6" x14ac:dyDescent="0.3">
      <c r="A76" s="1"/>
      <c r="B76" s="49"/>
      <c r="F76" s="40"/>
    </row>
    <row r="77" spans="1:6" x14ac:dyDescent="0.3">
      <c r="A77" s="1"/>
      <c r="B77" s="49"/>
      <c r="F77" s="40"/>
    </row>
    <row r="78" spans="1:6" x14ac:dyDescent="0.3">
      <c r="A78" s="1"/>
      <c r="B78" s="49"/>
      <c r="F78" s="40"/>
    </row>
    <row r="79" spans="1:6" x14ac:dyDescent="0.3">
      <c r="A79" s="1"/>
      <c r="B79" s="49"/>
    </row>
    <row r="80" spans="1:6" x14ac:dyDescent="0.3">
      <c r="A80" s="1"/>
      <c r="B80" s="49"/>
    </row>
    <row r="81" spans="1:2" x14ac:dyDescent="0.3">
      <c r="A81" s="1"/>
      <c r="B81" s="49"/>
    </row>
    <row r="82" spans="1:2" x14ac:dyDescent="0.3">
      <c r="A82" s="1"/>
      <c r="B82" s="49"/>
    </row>
    <row r="83" spans="1:2" x14ac:dyDescent="0.3">
      <c r="A83" s="1"/>
      <c r="B83" s="49"/>
    </row>
    <row r="84" spans="1:2" x14ac:dyDescent="0.3">
      <c r="A84" s="1"/>
      <c r="B84" s="49"/>
    </row>
    <row r="85" spans="1:2" x14ac:dyDescent="0.3">
      <c r="A85" s="1"/>
      <c r="B85" s="49"/>
    </row>
    <row r="86" spans="1:2" x14ac:dyDescent="0.3">
      <c r="A86" s="1"/>
      <c r="B86" s="49"/>
    </row>
    <row r="87" spans="1:2" x14ac:dyDescent="0.3">
      <c r="A87" s="1"/>
      <c r="B87" s="49"/>
    </row>
    <row r="88" spans="1:2" x14ac:dyDescent="0.3">
      <c r="A88" s="1"/>
      <c r="B88" s="49"/>
    </row>
    <row r="89" spans="1:2" x14ac:dyDescent="0.3">
      <c r="A89" s="1"/>
      <c r="B89" s="49"/>
    </row>
    <row r="90" spans="1:2" x14ac:dyDescent="0.3">
      <c r="A90" s="1"/>
      <c r="B90" s="49"/>
    </row>
    <row r="91" spans="1:2" x14ac:dyDescent="0.3">
      <c r="A91" s="1"/>
      <c r="B91" s="49"/>
    </row>
    <row r="92" spans="1:2" x14ac:dyDescent="0.3">
      <c r="A92" s="1"/>
      <c r="B92" s="49"/>
    </row>
    <row r="93" spans="1:2" x14ac:dyDescent="0.3">
      <c r="A93" s="1"/>
      <c r="B93" s="49"/>
    </row>
    <row r="94" spans="1:2" x14ac:dyDescent="0.3">
      <c r="A94" s="1"/>
      <c r="B94" s="49"/>
    </row>
    <row r="95" spans="1:2" x14ac:dyDescent="0.3">
      <c r="A95" s="1"/>
      <c r="B95" s="49"/>
    </row>
    <row r="96" spans="1:2" x14ac:dyDescent="0.3">
      <c r="A96" s="1"/>
      <c r="B96" s="49"/>
    </row>
    <row r="97" spans="1:2" x14ac:dyDescent="0.3">
      <c r="A97" s="1"/>
      <c r="B97" s="49"/>
    </row>
    <row r="98" spans="1:2" x14ac:dyDescent="0.3">
      <c r="A98" s="1"/>
      <c r="B98" s="49"/>
    </row>
    <row r="99" spans="1:2" x14ac:dyDescent="0.3">
      <c r="A99" s="1"/>
      <c r="B99" s="49"/>
    </row>
    <row r="100" spans="1:2" x14ac:dyDescent="0.3">
      <c r="A100" s="1"/>
      <c r="B100" s="49"/>
    </row>
    <row r="101" spans="1:2" x14ac:dyDescent="0.3">
      <c r="A101" s="1"/>
      <c r="B101" s="49"/>
    </row>
    <row r="102" spans="1:2" x14ac:dyDescent="0.3">
      <c r="A102" s="1"/>
      <c r="B102" s="49"/>
    </row>
    <row r="103" spans="1:2" x14ac:dyDescent="0.3">
      <c r="A103" s="1"/>
      <c r="B103" s="49"/>
    </row>
    <row r="104" spans="1:2" x14ac:dyDescent="0.3">
      <c r="A104" s="1"/>
      <c r="B104" s="49"/>
    </row>
    <row r="105" spans="1:2" x14ac:dyDescent="0.3">
      <c r="A105" s="1"/>
      <c r="B105" s="49"/>
    </row>
    <row r="106" spans="1:2" x14ac:dyDescent="0.3">
      <c r="A106" s="1"/>
      <c r="B106" s="49"/>
    </row>
    <row r="107" spans="1:2" x14ac:dyDescent="0.3">
      <c r="A107" s="1"/>
      <c r="B107" s="49"/>
    </row>
    <row r="108" spans="1:2" x14ac:dyDescent="0.3">
      <c r="A108" s="1"/>
      <c r="B108" s="49"/>
    </row>
    <row r="109" spans="1:2" x14ac:dyDescent="0.3">
      <c r="A109" s="1"/>
      <c r="B109" s="49"/>
    </row>
    <row r="110" spans="1:2" x14ac:dyDescent="0.3">
      <c r="A110" s="1"/>
      <c r="B110" s="49"/>
    </row>
    <row r="111" spans="1:2" x14ac:dyDescent="0.3">
      <c r="A111" s="1"/>
      <c r="B111" s="49"/>
    </row>
    <row r="112" spans="1:2" x14ac:dyDescent="0.3">
      <c r="A112" s="1"/>
      <c r="B112" s="49"/>
    </row>
    <row r="113" spans="1:2" x14ac:dyDescent="0.3">
      <c r="A113" s="1"/>
      <c r="B113" s="49"/>
    </row>
    <row r="114" spans="1:2" x14ac:dyDescent="0.3">
      <c r="A114" s="1"/>
      <c r="B114" s="49"/>
    </row>
    <row r="115" spans="1:2" x14ac:dyDescent="0.3">
      <c r="A115" s="1"/>
      <c r="B115" s="49"/>
    </row>
    <row r="116" spans="1:2" x14ac:dyDescent="0.3">
      <c r="A116" s="1"/>
      <c r="B116" s="49"/>
    </row>
    <row r="117" spans="1:2" x14ac:dyDescent="0.3">
      <c r="A117" s="1"/>
      <c r="B117" s="49"/>
    </row>
    <row r="118" spans="1:2" x14ac:dyDescent="0.3">
      <c r="A118" s="1"/>
      <c r="B118" s="49"/>
    </row>
    <row r="119" spans="1:2" x14ac:dyDescent="0.3">
      <c r="A119" s="1"/>
      <c r="B119" s="49"/>
    </row>
    <row r="120" spans="1:2" x14ac:dyDescent="0.3">
      <c r="A120" s="1"/>
      <c r="B120" s="49"/>
    </row>
    <row r="121" spans="1:2" x14ac:dyDescent="0.3">
      <c r="A121" s="1"/>
      <c r="B121" s="49"/>
    </row>
    <row r="122" spans="1:2" x14ac:dyDescent="0.3">
      <c r="A122" s="1"/>
      <c r="B122" s="49"/>
    </row>
    <row r="123" spans="1:2" x14ac:dyDescent="0.3">
      <c r="A123" s="1"/>
      <c r="B123" s="49"/>
    </row>
    <row r="124" spans="1:2" x14ac:dyDescent="0.3">
      <c r="A124" s="1"/>
      <c r="B124" s="49"/>
    </row>
    <row r="125" spans="1:2" x14ac:dyDescent="0.3">
      <c r="A125" s="1"/>
      <c r="B125" s="49"/>
    </row>
    <row r="126" spans="1:2" x14ac:dyDescent="0.3">
      <c r="A126" s="1"/>
      <c r="B126" s="49"/>
    </row>
    <row r="127" spans="1:2" x14ac:dyDescent="0.3">
      <c r="A127" s="1"/>
      <c r="B127" s="49"/>
    </row>
    <row r="128" spans="1:2" x14ac:dyDescent="0.3">
      <c r="A128" s="1"/>
      <c r="B128" s="49"/>
    </row>
    <row r="129" spans="1:2" x14ac:dyDescent="0.3">
      <c r="A129" s="1"/>
      <c r="B129" s="49"/>
    </row>
    <row r="130" spans="1:2" x14ac:dyDescent="0.3">
      <c r="A130" s="1"/>
      <c r="B130" s="49"/>
    </row>
    <row r="131" spans="1:2" x14ac:dyDescent="0.3">
      <c r="A131" s="1"/>
      <c r="B131" s="49"/>
    </row>
    <row r="132" spans="1:2" x14ac:dyDescent="0.3">
      <c r="A132" s="1"/>
      <c r="B132" s="49"/>
    </row>
    <row r="133" spans="1:2" x14ac:dyDescent="0.3">
      <c r="A133" s="1"/>
      <c r="B133" s="49"/>
    </row>
    <row r="134" spans="1:2" x14ac:dyDescent="0.3">
      <c r="A134" s="1"/>
      <c r="B134" s="49"/>
    </row>
    <row r="135" spans="1:2" x14ac:dyDescent="0.3">
      <c r="A135" s="1"/>
      <c r="B135" s="49"/>
    </row>
    <row r="136" spans="1:2" x14ac:dyDescent="0.3">
      <c r="A136" s="1"/>
      <c r="B136" s="49"/>
    </row>
    <row r="137" spans="1:2" x14ac:dyDescent="0.3">
      <c r="A137" s="1"/>
      <c r="B137" s="49"/>
    </row>
    <row r="138" spans="1:2" x14ac:dyDescent="0.3">
      <c r="A138" s="1"/>
      <c r="B138" s="49"/>
    </row>
    <row r="139" spans="1:2" x14ac:dyDescent="0.3">
      <c r="A139" s="1"/>
      <c r="B139" s="49"/>
    </row>
    <row r="140" spans="1:2" x14ac:dyDescent="0.3">
      <c r="A140" s="1"/>
      <c r="B140" s="49"/>
    </row>
    <row r="141" spans="1:2" x14ac:dyDescent="0.3">
      <c r="A141" s="1"/>
      <c r="B141" s="49"/>
    </row>
    <row r="142" spans="1:2" x14ac:dyDescent="0.3">
      <c r="A142" s="1"/>
      <c r="B142" s="49"/>
    </row>
    <row r="143" spans="1:2" x14ac:dyDescent="0.3">
      <c r="A143" s="1"/>
      <c r="B143" s="49"/>
    </row>
    <row r="144" spans="1:2" x14ac:dyDescent="0.3">
      <c r="A144" s="1"/>
      <c r="B144" s="49"/>
    </row>
    <row r="145" spans="1:2" x14ac:dyDescent="0.3">
      <c r="A145" s="1"/>
      <c r="B145" s="49"/>
    </row>
    <row r="146" spans="1:2" x14ac:dyDescent="0.3">
      <c r="A146" s="1"/>
      <c r="B146" s="49"/>
    </row>
    <row r="147" spans="1:2" x14ac:dyDescent="0.3">
      <c r="A147" s="1"/>
      <c r="B147" s="49"/>
    </row>
    <row r="148" spans="1:2" x14ac:dyDescent="0.3">
      <c r="A148" s="1"/>
      <c r="B148" s="49"/>
    </row>
    <row r="149" spans="1:2" x14ac:dyDescent="0.3">
      <c r="A149" s="1"/>
      <c r="B149" s="49"/>
    </row>
    <row r="150" spans="1:2" x14ac:dyDescent="0.3">
      <c r="A150" s="1"/>
      <c r="B150" s="49"/>
    </row>
    <row r="151" spans="1:2" x14ac:dyDescent="0.3">
      <c r="A151" s="1"/>
      <c r="B151" s="49"/>
    </row>
    <row r="152" spans="1:2" x14ac:dyDescent="0.3">
      <c r="A152" s="1"/>
      <c r="B152" s="49"/>
    </row>
    <row r="153" spans="1:2" x14ac:dyDescent="0.3">
      <c r="A153" s="1"/>
      <c r="B153" s="49"/>
    </row>
    <row r="154" spans="1:2" x14ac:dyDescent="0.3">
      <c r="A154" s="1"/>
      <c r="B154" s="49"/>
    </row>
    <row r="155" spans="1:2" x14ac:dyDescent="0.3">
      <c r="A155" s="1"/>
      <c r="B155" s="49"/>
    </row>
    <row r="156" spans="1:2" x14ac:dyDescent="0.3">
      <c r="A156" s="1"/>
      <c r="B156" s="49"/>
    </row>
    <row r="157" spans="1:2" x14ac:dyDescent="0.3">
      <c r="A157" s="1"/>
      <c r="B157" s="49"/>
    </row>
    <row r="158" spans="1:2" x14ac:dyDescent="0.3">
      <c r="A158" s="1"/>
      <c r="B158" s="49"/>
    </row>
    <row r="159" spans="1:2" x14ac:dyDescent="0.3">
      <c r="A159" s="1"/>
      <c r="B159" s="49"/>
    </row>
    <row r="160" spans="1:2" x14ac:dyDescent="0.3">
      <c r="A160" s="1"/>
      <c r="B160" s="49"/>
    </row>
    <row r="161" spans="1:2" x14ac:dyDescent="0.3">
      <c r="A161" s="1"/>
      <c r="B161" s="49"/>
    </row>
    <row r="162" spans="1:2" x14ac:dyDescent="0.3">
      <c r="A162" s="1"/>
      <c r="B162" s="49"/>
    </row>
    <row r="163" spans="1:2" x14ac:dyDescent="0.3">
      <c r="A163" s="1"/>
      <c r="B163" s="49"/>
    </row>
    <row r="164" spans="1:2" x14ac:dyDescent="0.3">
      <c r="A164" s="1"/>
      <c r="B164" s="49"/>
    </row>
    <row r="165" spans="1:2" x14ac:dyDescent="0.3">
      <c r="A165" s="1"/>
      <c r="B165" s="49"/>
    </row>
    <row r="166" spans="1:2" x14ac:dyDescent="0.3">
      <c r="A166" s="1"/>
      <c r="B166" s="49"/>
    </row>
    <row r="167" spans="1:2" x14ac:dyDescent="0.3">
      <c r="A167" s="1"/>
      <c r="B167" s="49"/>
    </row>
    <row r="168" spans="1:2" x14ac:dyDescent="0.3">
      <c r="A168" s="1"/>
      <c r="B168" s="49"/>
    </row>
    <row r="169" spans="1:2" x14ac:dyDescent="0.3">
      <c r="A169" s="1"/>
      <c r="B169" s="49"/>
    </row>
  </sheetData>
  <phoneticPr fontId="11" type="noConversion"/>
  <pageMargins left="0" right="0" top="0" bottom="0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4DD83-3031-4173-AF8D-2D480E4A6D57}">
  <dimension ref="C1:D1"/>
  <sheetViews>
    <sheetView topLeftCell="F1" zoomScaleNormal="100" workbookViewId="0">
      <selection activeCell="F1" sqref="F1"/>
    </sheetView>
  </sheetViews>
  <sheetFormatPr defaultRowHeight="15" x14ac:dyDescent="0.25"/>
  <cols>
    <col min="3" max="4" width="9.140625" style="67"/>
  </cols>
  <sheetData/>
  <phoneticPr fontId="1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F06D-AD2F-4A24-9756-DC40A5951F89}">
  <dimension ref="J56"/>
  <sheetViews>
    <sheetView topLeftCell="A21" workbookViewId="0">
      <selection activeCell="J57" sqref="J57"/>
    </sheetView>
  </sheetViews>
  <sheetFormatPr defaultRowHeight="15" x14ac:dyDescent="0.25"/>
  <sheetData>
    <row r="56" spans="10:10" x14ac:dyDescent="0.25">
      <c r="J56">
        <f>55000000/12140</f>
        <v>4530.4777594728175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FD6A4-3F78-415E-903A-6FA8D106FA49}">
  <dimension ref="J56"/>
  <sheetViews>
    <sheetView topLeftCell="A39" workbookViewId="0">
      <selection activeCell="J56" sqref="J56"/>
    </sheetView>
  </sheetViews>
  <sheetFormatPr defaultRowHeight="15" x14ac:dyDescent="0.25"/>
  <sheetData>
    <row r="56" spans="10:10" x14ac:dyDescent="0.25">
      <c r="J56">
        <f>200000000/37160</f>
        <v>5382.1313240043055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A2168-7C7F-411D-A78E-80BFE85DFB98}">
  <dimension ref="J56"/>
  <sheetViews>
    <sheetView topLeftCell="A39" workbookViewId="0">
      <selection activeCell="J56" sqref="J56"/>
    </sheetView>
  </sheetViews>
  <sheetFormatPr defaultRowHeight="15" x14ac:dyDescent="0.25"/>
  <sheetData>
    <row r="56" spans="10:10" x14ac:dyDescent="0.25">
      <c r="J56">
        <f>25000000/3716</f>
        <v>6727.6641550053819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6D08-4665-45F7-B41F-9B93BC82D85D}">
  <dimension ref="K56"/>
  <sheetViews>
    <sheetView topLeftCell="A39" workbookViewId="0">
      <selection activeCell="K56" sqref="K56"/>
    </sheetView>
  </sheetViews>
  <sheetFormatPr defaultRowHeight="15" x14ac:dyDescent="0.25"/>
  <sheetData>
    <row r="56" spans="11:11" x14ac:dyDescent="0.25">
      <c r="K56">
        <f>12500000/2530.2</f>
        <v>4940.3209232471745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7982-0E7C-40CD-B35B-26E07BD52379}">
  <dimension ref="J56"/>
  <sheetViews>
    <sheetView topLeftCell="A21" workbookViewId="0">
      <selection activeCell="J56" sqref="J56"/>
    </sheetView>
  </sheetViews>
  <sheetFormatPr defaultRowHeight="15" x14ac:dyDescent="0.25"/>
  <sheetData>
    <row r="56" spans="10:10" x14ac:dyDescent="0.25">
      <c r="J56">
        <f>50000000/8096.65</f>
        <v>6175.3935269525055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D70B-52BC-4BCB-9F15-7581E4A83A31}">
  <dimension ref="K56"/>
  <sheetViews>
    <sheetView topLeftCell="A21" workbookViewId="0">
      <selection activeCell="K57" sqref="K57"/>
    </sheetView>
  </sheetViews>
  <sheetFormatPr defaultRowHeight="15" x14ac:dyDescent="0.25"/>
  <sheetData>
    <row r="56" spans="11:11" x14ac:dyDescent="0.25">
      <c r="K56">
        <f>11000000/2024.16</f>
        <v>5434.3530155718918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 (2)</vt:lpstr>
      <vt:lpstr>Valuation VCIPL</vt:lpstr>
      <vt:lpstr>Circle Rate</vt:lpstr>
      <vt:lpstr>Sheet1</vt:lpstr>
      <vt:lpstr>Sheet2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2024-10-24T07:15:20Z</dcterms:modified>
</cp:coreProperties>
</file>