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 Making Cases\Indore\Felix Generics Pvt. Ltd. - Pitampur\"/>
    </mc:Choice>
  </mc:AlternateContent>
  <xr:revisionPtr revIDLastSave="0" documentId="13_ncr:1_{90B974CC-BCEC-42D2-AF5C-468CA25065AA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" sheetId="2" r:id="rId1"/>
    <sheet name="Sheet1" sheetId="3" r:id="rId2"/>
    <sheet name="Sheet2" sheetId="4" r:id="rId3"/>
    <sheet name="Sheet3" sheetId="5" r:id="rId4"/>
    <sheet name="Sheet4" sheetId="6" r:id="rId5"/>
    <sheet name="Sheet5" sheetId="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2" l="1"/>
  <c r="C25" i="2"/>
  <c r="E24" i="2"/>
  <c r="C30" i="2"/>
  <c r="D35" i="2" l="1"/>
  <c r="C58" i="2" l="1"/>
  <c r="D60" i="2"/>
  <c r="D59" i="2"/>
  <c r="D61" i="2" s="1"/>
  <c r="D58" i="2"/>
  <c r="D57" i="2"/>
  <c r="D56" i="2"/>
  <c r="C57" i="2"/>
  <c r="C56" i="2"/>
  <c r="E59" i="2" l="1"/>
  <c r="O95" i="2"/>
  <c r="L75" i="2"/>
  <c r="K75" i="2"/>
  <c r="H67" i="2"/>
  <c r="G67" i="2"/>
  <c r="Q12" i="2" l="1"/>
  <c r="Q11" i="2"/>
  <c r="Q10" i="2"/>
  <c r="Q9" i="2"/>
  <c r="O12" i="2"/>
  <c r="H12" i="2"/>
  <c r="J12" i="2" s="1"/>
  <c r="K12" i="2" s="1"/>
  <c r="L12" i="2" s="1"/>
  <c r="N12" i="2" s="1"/>
  <c r="O11" i="2"/>
  <c r="H11" i="2"/>
  <c r="I11" i="2" s="1"/>
  <c r="O10" i="2"/>
  <c r="H10" i="2"/>
  <c r="I10" i="2" s="1"/>
  <c r="O9" i="2"/>
  <c r="H9" i="2"/>
  <c r="J9" i="2" s="1"/>
  <c r="K9" i="2" s="1"/>
  <c r="L9" i="2" s="1"/>
  <c r="N9" i="2" s="1"/>
  <c r="AE30" i="2"/>
  <c r="AC30" i="2"/>
  <c r="U26" i="2"/>
  <c r="U25" i="2"/>
  <c r="U23" i="2"/>
  <c r="N64" i="2"/>
  <c r="T26" i="2"/>
  <c r="T25" i="2"/>
  <c r="Z50" i="2"/>
  <c r="V20" i="2"/>
  <c r="S8" i="2"/>
  <c r="X30" i="2"/>
  <c r="W30" i="2"/>
  <c r="X23" i="2"/>
  <c r="M12" i="2" l="1"/>
  <c r="I12" i="2"/>
  <c r="J10" i="2"/>
  <c r="K10" i="2" s="1"/>
  <c r="L10" i="2" s="1"/>
  <c r="N10" i="2" s="1"/>
  <c r="M10" i="2" s="1"/>
  <c r="J11" i="2"/>
  <c r="K11" i="2" s="1"/>
  <c r="L11" i="2" s="1"/>
  <c r="N11" i="2" s="1"/>
  <c r="M11" i="2" s="1"/>
  <c r="M9" i="2"/>
  <c r="I9" i="2"/>
  <c r="Q13" i="2"/>
  <c r="Q14" i="2"/>
  <c r="Q15" i="2"/>
  <c r="Q16" i="2"/>
  <c r="Q17" i="2"/>
  <c r="Q18" i="2"/>
  <c r="V23" i="2"/>
  <c r="F26" i="2"/>
  <c r="AA24" i="2"/>
  <c r="Y23" i="2"/>
  <c r="X25" i="2" s="1"/>
  <c r="Y55" i="2"/>
  <c r="X55" i="2"/>
  <c r="L40" i="2" l="1"/>
  <c r="M40" i="2"/>
  <c r="N40" i="2"/>
  <c r="O40" i="2"/>
  <c r="P40" i="2"/>
  <c r="Q40" i="2"/>
  <c r="K40" i="2"/>
  <c r="D33" i="2"/>
  <c r="J40" i="2"/>
  <c r="Y18" i="2" l="1"/>
  <c r="Y15" i="2"/>
  <c r="Y14" i="2"/>
  <c r="Y8" i="2"/>
  <c r="X18" i="2"/>
  <c r="X17" i="2"/>
  <c r="Y17" i="2" s="1"/>
  <c r="X16" i="2"/>
  <c r="Y16" i="2" s="1"/>
  <c r="X15" i="2"/>
  <c r="X14" i="2"/>
  <c r="X13" i="2"/>
  <c r="Y13" i="2" s="1"/>
  <c r="X8" i="2"/>
  <c r="C20" i="2"/>
  <c r="P55" i="2" l="1"/>
  <c r="M18" i="6"/>
  <c r="M8" i="6"/>
  <c r="O8" i="6" s="1"/>
  <c r="C19" i="6"/>
  <c r="G14" i="6"/>
  <c r="C4" i="6"/>
  <c r="Z58" i="2"/>
  <c r="Z57" i="2"/>
  <c r="Z56" i="2"/>
  <c r="Z55" i="2"/>
  <c r="V57" i="2"/>
  <c r="W57" i="2" s="1"/>
  <c r="V55" i="2"/>
  <c r="W55" i="2" s="1"/>
  <c r="X57" i="2" s="1"/>
  <c r="Y57" i="2" s="1"/>
  <c r="K56" i="2"/>
  <c r="L56" i="2"/>
  <c r="M56" i="2"/>
  <c r="J56" i="2"/>
  <c r="F2" i="2"/>
  <c r="I3" i="2"/>
  <c r="K2" i="2" s="1"/>
  <c r="O8" i="2"/>
  <c r="H8" i="2"/>
  <c r="J8" i="2" s="1"/>
  <c r="K8" i="2" s="1"/>
  <c r="L8" i="2" s="1"/>
  <c r="N8" i="2" s="1"/>
  <c r="O15" i="2"/>
  <c r="H15" i="2"/>
  <c r="J15" i="2" s="1"/>
  <c r="K15" i="2" s="1"/>
  <c r="L15" i="2" s="1"/>
  <c r="N15" i="2" s="1"/>
  <c r="O14" i="2"/>
  <c r="H14" i="2"/>
  <c r="J14" i="2" s="1"/>
  <c r="K14" i="2" s="1"/>
  <c r="L14" i="2" s="1"/>
  <c r="N14" i="2" s="1"/>
  <c r="O13" i="2"/>
  <c r="H13" i="2"/>
  <c r="J13" i="2" s="1"/>
  <c r="K13" i="2" s="1"/>
  <c r="L13" i="2" s="1"/>
  <c r="N13" i="2" s="1"/>
  <c r="T8" i="2" l="1"/>
  <c r="Q8" i="2"/>
  <c r="Q20" i="2" s="1"/>
  <c r="Q21" i="2" s="1"/>
  <c r="AB55" i="2"/>
  <c r="AC55" i="2" s="1"/>
  <c r="AB57" i="2"/>
  <c r="AC57" i="2" s="1"/>
  <c r="AD57" i="2"/>
  <c r="I13" i="2"/>
  <c r="M8" i="2"/>
  <c r="I14" i="2"/>
  <c r="I15" i="2"/>
  <c r="I8" i="2"/>
  <c r="M13" i="2"/>
  <c r="M14" i="2"/>
  <c r="M15" i="2"/>
  <c r="O19" i="2" l="1"/>
  <c r="H19" i="2"/>
  <c r="I19" i="2" s="1"/>
  <c r="O18" i="2"/>
  <c r="H18" i="2"/>
  <c r="O17" i="2"/>
  <c r="H17" i="2"/>
  <c r="I17" i="2" s="1"/>
  <c r="O16" i="2"/>
  <c r="H16" i="2"/>
  <c r="C4" i="2"/>
  <c r="C33" i="2" s="1"/>
  <c r="J2" i="2"/>
  <c r="L2" i="2" s="1"/>
  <c r="D34" i="2" l="1"/>
  <c r="J19" i="2"/>
  <c r="K19" i="2" s="1"/>
  <c r="L19" i="2" s="1"/>
  <c r="N19" i="2" s="1"/>
  <c r="M19" i="2" s="1"/>
  <c r="J17" i="2"/>
  <c r="K17" i="2" s="1"/>
  <c r="L17" i="2" s="1"/>
  <c r="N17" i="2" s="1"/>
  <c r="M17" i="2" s="1"/>
  <c r="J16" i="2"/>
  <c r="K16" i="2" s="1"/>
  <c r="L16" i="2" s="1"/>
  <c r="N16" i="2" s="1"/>
  <c r="I16" i="2"/>
  <c r="J18" i="2"/>
  <c r="K18" i="2" s="1"/>
  <c r="L18" i="2" s="1"/>
  <c r="N18" i="2" s="1"/>
  <c r="M18" i="2" s="1"/>
  <c r="I18" i="2"/>
  <c r="O20" i="2"/>
  <c r="D40" i="2" l="1"/>
  <c r="D37" i="2"/>
  <c r="D38" i="2" s="1"/>
  <c r="N20" i="2"/>
  <c r="C34" i="2" s="1"/>
  <c r="C40" i="2" s="1"/>
  <c r="M16" i="2"/>
  <c r="M20" i="2" s="1"/>
  <c r="D39" i="2" l="1"/>
  <c r="L3" i="2"/>
  <c r="L4" i="2" s="1"/>
  <c r="C37" i="2"/>
  <c r="C39" i="2" s="1"/>
  <c r="P2" i="2" l="1"/>
  <c r="R2" i="2" s="1"/>
  <c r="P3" i="2"/>
  <c r="C38" i="2"/>
  <c r="P4" i="2"/>
  <c r="R4" i="2" s="1"/>
  <c r="R3" i="2" l="1"/>
</calcChain>
</file>

<file path=xl/sharedStrings.xml><?xml version="1.0" encoding="utf-8"?>
<sst xmlns="http://schemas.openxmlformats.org/spreadsheetml/2006/main" count="156" uniqueCount="101">
  <si>
    <t>Year Of Const.</t>
  </si>
  <si>
    <t>Valuation Year</t>
  </si>
  <si>
    <t>Total Life of Structure</t>
  </si>
  <si>
    <t>% of the depreciation rate to be deducted</t>
  </si>
  <si>
    <t>% Value</t>
  </si>
  <si>
    <t>Rate</t>
  </si>
  <si>
    <t>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</si>
  <si>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</si>
  <si>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</si>
  <si>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</si>
  <si>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</si>
  <si>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</si>
  <si>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</si>
  <si>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</si>
  <si>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 xml:space="preserve"> Value</t>
  </si>
  <si>
    <t>Built up area</t>
  </si>
  <si>
    <t>Interior and other Development</t>
  </si>
  <si>
    <t>Interior and Other Development</t>
  </si>
  <si>
    <t xml:space="preserve">Sr. No. </t>
  </si>
  <si>
    <t>Government value</t>
  </si>
  <si>
    <t>Depreciation</t>
  </si>
  <si>
    <t>Particulars</t>
  </si>
  <si>
    <t>Balance Life of Structures in Years</t>
  </si>
  <si>
    <t xml:space="preserve">Built Up Area </t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</si>
  <si>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</si>
  <si>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</si>
  <si>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</si>
  <si>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</si>
  <si>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</si>
  <si>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</si>
  <si>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</si>
  <si>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</si>
  <si>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Sq. M. / Sq. Ft.</t>
  </si>
  <si>
    <t>Estimated Replacement Cost</t>
  </si>
  <si>
    <t xml:space="preserve">Depreciated Replacement Cost </t>
  </si>
  <si>
    <t xml:space="preserve">Depreciated Replacement Value </t>
  </si>
  <si>
    <t>Replacement Value</t>
  </si>
  <si>
    <r>
      <t>Insurable value (Depreciated Replacement Value (</t>
    </r>
    <r>
      <rPr>
        <b/>
        <sz val="11"/>
        <color theme="1"/>
        <rFont val="Rupee Foradian"/>
        <family val="2"/>
      </rPr>
      <t xml:space="preserve">` </t>
    </r>
    <r>
      <rPr>
        <b/>
        <sz val="11"/>
        <color theme="1"/>
        <rFont val="Arial Narrow"/>
        <family val="2"/>
      </rPr>
      <t>3,34,62,049.00) - Subsoil Structure Cost (15%)</t>
    </r>
  </si>
  <si>
    <t>Age Of Build</t>
  </si>
  <si>
    <t>(Years)</t>
  </si>
  <si>
    <r>
      <t>(</t>
    </r>
    <r>
      <rPr>
        <b/>
        <sz val="10.5"/>
        <rFont val="Rupee Foradian"/>
        <family val="2"/>
      </rPr>
      <t>`</t>
    </r>
    <r>
      <rPr>
        <b/>
        <sz val="10.5"/>
        <rFont val="Calibri"/>
        <family val="2"/>
      </rPr>
      <t>)</t>
    </r>
  </si>
  <si>
    <r>
      <t>(</t>
    </r>
    <r>
      <rPr>
        <b/>
        <sz val="10.5"/>
        <color rgb="FFFF0000"/>
        <rFont val="Rupee Foradian"/>
        <family val="2"/>
      </rPr>
      <t>`</t>
    </r>
    <r>
      <rPr>
        <b/>
        <sz val="10.5"/>
        <color rgb="FFFF0000"/>
        <rFont val="Calibri"/>
        <family val="2"/>
      </rPr>
      <t>)</t>
    </r>
  </si>
  <si>
    <t>Fair Market Value</t>
  </si>
  <si>
    <t>Built up area (Sq. M.)</t>
  </si>
  <si>
    <t>Ground</t>
  </si>
  <si>
    <t>Floor</t>
  </si>
  <si>
    <t xml:space="preserve">First </t>
  </si>
  <si>
    <t xml:space="preserve">Second </t>
  </si>
  <si>
    <t>Total</t>
  </si>
  <si>
    <t>Area considered for</t>
  </si>
  <si>
    <t>Valuation</t>
  </si>
  <si>
    <t>Production Block</t>
  </si>
  <si>
    <t>Utility Block</t>
  </si>
  <si>
    <t>Boiler Shed</t>
  </si>
  <si>
    <t>-</t>
  </si>
  <si>
    <t>Pump Room Mumty</t>
  </si>
  <si>
    <t>STP / ETP Technical Area</t>
  </si>
  <si>
    <t>Solvent Store</t>
  </si>
  <si>
    <t>Security Cabin</t>
  </si>
  <si>
    <t>(Sq. M.)</t>
  </si>
  <si>
    <t>North</t>
  </si>
  <si>
    <t xml:space="preserve">South </t>
  </si>
  <si>
    <t>East</t>
  </si>
  <si>
    <t>West</t>
  </si>
  <si>
    <t>Stamp duty</t>
  </si>
  <si>
    <t>50% of Government Ready Reckoner Rate</t>
  </si>
  <si>
    <t>Development charges</t>
  </si>
  <si>
    <t>Land Rate</t>
  </si>
  <si>
    <t>Agreement Value</t>
  </si>
  <si>
    <t>Work Completion</t>
  </si>
  <si>
    <t xml:space="preserve">Present Replacement Value </t>
  </si>
  <si>
    <t>Sr.</t>
  </si>
  <si>
    <t>Percentage</t>
  </si>
  <si>
    <t>RCC Footing/Foundation</t>
  </si>
  <si>
    <t>RCC Plinth</t>
  </si>
  <si>
    <t>Full Building RCC</t>
  </si>
  <si>
    <t>Internal Brick work</t>
  </si>
  <si>
    <t>External Brickwork</t>
  </si>
  <si>
    <t>Internal plastering</t>
  </si>
  <si>
    <t xml:space="preserve"> External plastering</t>
  </si>
  <si>
    <t>Doors &amp; Windows</t>
  </si>
  <si>
    <t>Flooring, Tiling, Kitchen Platform</t>
  </si>
  <si>
    <t>Internal painting</t>
  </si>
  <si>
    <t>External painting</t>
  </si>
  <si>
    <t>Electrification, plumbing &amp; Sanitary installation</t>
  </si>
  <si>
    <t>Lift Installation</t>
  </si>
  <si>
    <t>Passage, Staircase &amp; Lobby development</t>
  </si>
  <si>
    <t>External developments / Final finishing work</t>
  </si>
  <si>
    <t xml:space="preserve">Full Value </t>
  </si>
  <si>
    <t>Present Value</t>
  </si>
  <si>
    <t>Area As per approved plan</t>
  </si>
  <si>
    <t>Area AsConstructed on site</t>
  </si>
  <si>
    <t>2232 per floor</t>
  </si>
  <si>
    <t>U.c</t>
  </si>
  <si>
    <t>com</t>
  </si>
  <si>
    <t>Middle Block (Completed)</t>
  </si>
  <si>
    <t>Front portion (Plinth level)</t>
  </si>
  <si>
    <t>Rear Portion (Foundation)</t>
  </si>
  <si>
    <t>Second Floor (RCC)</t>
  </si>
  <si>
    <t xml:space="preserve">Pump Room </t>
  </si>
  <si>
    <t xml:space="preserve">Production Block (Ground+2 upper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</si>
</sst>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.0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Rupee Foradian"/>
      <family val="2"/>
    </font>
    <font>
      <b/>
      <sz val="10.5"/>
      <color theme="1"/>
      <name val="Arial Narrow"/>
      <family val="2"/>
    </font>
    <font>
      <b/>
      <sz val="10.5"/>
      <color rgb="FFFF0000"/>
      <name val="Arial Narrow"/>
      <family val="2"/>
    </font>
    <font>
      <b/>
      <sz val="10.5"/>
      <name val="Arial Narrow"/>
      <family val="2"/>
    </font>
    <font>
      <b/>
      <sz val="10.5"/>
      <color rgb="FFFF0000"/>
      <name val="Calibri"/>
      <family val="2"/>
    </font>
    <font>
      <b/>
      <sz val="10.5"/>
      <name val="Calibri"/>
      <family val="2"/>
    </font>
    <font>
      <b/>
      <sz val="10.5"/>
      <name val="Rupee Foradian"/>
      <family val="2"/>
    </font>
    <font>
      <b/>
      <sz val="10.5"/>
      <color rgb="FFFF0000"/>
      <name val="Rupee Foradian"/>
      <family val="2"/>
    </font>
    <font>
      <sz val="10.5"/>
      <color theme="1"/>
      <name val="Arial Narrow"/>
      <family val="2"/>
    </font>
    <font>
      <sz val="10.5"/>
      <color rgb="FF000000"/>
      <name val="Arial Narrow"/>
      <family val="2"/>
    </font>
    <font>
      <sz val="10.5"/>
      <name val="Arial Narrow"/>
      <family val="2"/>
    </font>
    <font>
      <sz val="10.5"/>
      <color rgb="FFFF0000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name val="Arial Narrow"/>
      <family val="2"/>
    </font>
    <font>
      <sz val="9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CBA987"/>
      </left>
      <right style="medium">
        <color rgb="FFCBA987"/>
      </right>
      <top style="medium">
        <color rgb="FFCBA987"/>
      </top>
      <bottom style="medium">
        <color rgb="FFCBA987"/>
      </bottom>
      <diagonal/>
    </border>
    <border>
      <left style="medium">
        <color rgb="FFCBA987"/>
      </left>
      <right style="medium">
        <color rgb="FFCBA987"/>
      </right>
      <top/>
      <bottom style="medium">
        <color rgb="FFCBA987"/>
      </bottom>
      <diagonal/>
    </border>
    <border>
      <left/>
      <right style="medium">
        <color rgb="FFCBA987"/>
      </right>
      <top style="medium">
        <color rgb="FFCBA987"/>
      </top>
      <bottom style="medium">
        <color rgb="FFCBA987"/>
      </bottom>
      <diagonal/>
    </border>
    <border>
      <left/>
      <right style="medium">
        <color rgb="FFCBA987"/>
      </right>
      <top/>
      <bottom style="medium">
        <color rgb="FFCBA987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4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0" xfId="0" applyFont="1"/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7" fillId="0" borderId="0" xfId="0" applyNumberFormat="1" applyFont="1"/>
    <xf numFmtId="0" fontId="7" fillId="0" borderId="0" xfId="0" applyFont="1"/>
    <xf numFmtId="0" fontId="6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/>
    <xf numFmtId="4" fontId="6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3" fillId="0" borderId="0" xfId="0" applyFont="1" applyAlignment="1">
      <alignment horizontal="center"/>
    </xf>
    <xf numFmtId="4" fontId="3" fillId="0" borderId="2" xfId="0" applyNumberFormat="1" applyFont="1" applyBorder="1" applyAlignment="1">
      <alignment vertical="top"/>
    </xf>
    <xf numFmtId="0" fontId="3" fillId="0" borderId="0" xfId="0" applyFont="1" applyAlignment="1">
      <alignment horizont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8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3" fontId="6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3" fillId="0" borderId="1" xfId="0" applyNumberFormat="1" applyFont="1" applyBorder="1"/>
    <xf numFmtId="3" fontId="6" fillId="0" borderId="1" xfId="0" applyNumberFormat="1" applyFont="1" applyBorder="1"/>
    <xf numFmtId="0" fontId="5" fillId="0" borderId="0" xfId="0" applyFont="1"/>
    <xf numFmtId="3" fontId="5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3" fontId="3" fillId="0" borderId="0" xfId="0" applyNumberFormat="1" applyFont="1" applyAlignment="1">
      <alignment vertical="top"/>
    </xf>
    <xf numFmtId="3" fontId="7" fillId="0" borderId="0" xfId="0" applyNumberFormat="1" applyFont="1" applyAlignment="1">
      <alignment vertical="top"/>
    </xf>
    <xf numFmtId="0" fontId="12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top" wrapText="1" shrinkToFit="1"/>
    </xf>
    <xf numFmtId="0" fontId="12" fillId="0" borderId="1" xfId="0" applyFont="1" applyBorder="1" applyAlignment="1">
      <alignment horizontal="center" vertical="top" wrapText="1" shrinkToFit="1"/>
    </xf>
    <xf numFmtId="0" fontId="14" fillId="0" borderId="1" xfId="0" applyFont="1" applyBorder="1" applyAlignment="1">
      <alignment horizontal="center" vertical="top" wrapText="1" shrinkToFit="1"/>
    </xf>
    <xf numFmtId="0" fontId="12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 shrinkToFit="1"/>
    </xf>
    <xf numFmtId="0" fontId="18" fillId="0" borderId="1" xfId="0" applyFont="1" applyBorder="1" applyAlignment="1">
      <alignment horizontal="center" vertical="top"/>
    </xf>
    <xf numFmtId="0" fontId="19" fillId="0" borderId="1" xfId="0" applyFont="1" applyBorder="1" applyAlignment="1">
      <alignment vertical="top" wrapText="1"/>
    </xf>
    <xf numFmtId="4" fontId="18" fillId="0" borderId="1" xfId="0" applyNumberFormat="1" applyFont="1" applyBorder="1" applyAlignment="1">
      <alignment horizontal="right" vertical="top" wrapText="1"/>
    </xf>
    <xf numFmtId="0" fontId="20" fillId="0" borderId="1" xfId="0" applyFont="1" applyBorder="1" applyAlignment="1">
      <alignment horizontal="right" vertical="top" wrapText="1"/>
    </xf>
    <xf numFmtId="3" fontId="21" fillId="0" borderId="1" xfId="0" applyNumberFormat="1" applyFont="1" applyBorder="1" applyAlignment="1">
      <alignment vertical="top"/>
    </xf>
    <xf numFmtId="0" fontId="18" fillId="0" borderId="1" xfId="0" applyFont="1" applyBorder="1" applyAlignment="1">
      <alignment horizontal="center"/>
    </xf>
    <xf numFmtId="0" fontId="20" fillId="0" borderId="1" xfId="0" applyFont="1" applyBorder="1" applyAlignment="1">
      <alignment horizontal="right" vertical="center" wrapText="1"/>
    </xf>
    <xf numFmtId="3" fontId="19" fillId="0" borderId="1" xfId="0" applyNumberFormat="1" applyFont="1" applyBorder="1" applyAlignment="1">
      <alignment horizontal="right" wrapText="1"/>
    </xf>
    <xf numFmtId="3" fontId="21" fillId="0" borderId="1" xfId="0" applyNumberFormat="1" applyFont="1" applyBorder="1"/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vertical="top"/>
    </xf>
    <xf numFmtId="0" fontId="21" fillId="0" borderId="1" xfId="0" applyFont="1" applyBorder="1" applyAlignment="1">
      <alignment vertical="top"/>
    </xf>
    <xf numFmtId="3" fontId="18" fillId="0" borderId="1" xfId="0" applyNumberFormat="1" applyFont="1" applyBorder="1" applyAlignment="1">
      <alignment vertical="top"/>
    </xf>
    <xf numFmtId="0" fontId="7" fillId="0" borderId="13" xfId="0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7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43" fontId="3" fillId="0" borderId="12" xfId="1" applyFont="1" applyBorder="1" applyAlignment="1">
      <alignment horizontal="right" vertical="center" wrapText="1"/>
    </xf>
    <xf numFmtId="43" fontId="3" fillId="0" borderId="12" xfId="1" applyFont="1" applyBorder="1" applyAlignment="1">
      <alignment horizontal="center" vertical="center" wrapText="1"/>
    </xf>
    <xf numFmtId="43" fontId="7" fillId="0" borderId="12" xfId="1" applyFont="1" applyBorder="1" applyAlignment="1">
      <alignment horizontal="right" vertical="center" wrapText="1"/>
    </xf>
    <xf numFmtId="0" fontId="6" fillId="0" borderId="6" xfId="0" applyFont="1" applyBorder="1" applyAlignment="1">
      <alignment horizontal="justify" vertical="center" wrapText="1"/>
    </xf>
    <xf numFmtId="164" fontId="6" fillId="0" borderId="10" xfId="1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justify" vertical="center" wrapText="1"/>
    </xf>
    <xf numFmtId="164" fontId="6" fillId="0" borderId="12" xfId="1" applyNumberFormat="1" applyFont="1" applyBorder="1" applyAlignment="1">
      <alignment horizontal="center" vertical="center" wrapText="1"/>
    </xf>
    <xf numFmtId="164" fontId="7" fillId="0" borderId="0" xfId="0" applyNumberFormat="1" applyFont="1"/>
    <xf numFmtId="43" fontId="3" fillId="0" borderId="0" xfId="0" applyNumberFormat="1" applyFont="1"/>
    <xf numFmtId="43" fontId="1" fillId="0" borderId="0" xfId="0" applyNumberFormat="1" applyFont="1"/>
    <xf numFmtId="11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0" fontId="6" fillId="0" borderId="0" xfId="0" applyFont="1" applyAlignment="1">
      <alignment vertical="top"/>
    </xf>
    <xf numFmtId="4" fontId="18" fillId="0" borderId="1" xfId="0" applyNumberFormat="1" applyFont="1" applyBorder="1" applyAlignment="1">
      <alignment vertical="top"/>
    </xf>
    <xf numFmtId="0" fontId="6" fillId="0" borderId="6" xfId="0" applyFont="1" applyBorder="1" applyAlignment="1">
      <alignment vertical="center" wrapText="1"/>
    </xf>
    <xf numFmtId="4" fontId="6" fillId="0" borderId="6" xfId="0" applyNumberFormat="1" applyFont="1" applyBorder="1" applyAlignment="1">
      <alignment horizontal="right" vertical="center" wrapText="1"/>
    </xf>
    <xf numFmtId="0" fontId="6" fillId="0" borderId="9" xfId="0" applyFont="1" applyBorder="1" applyAlignment="1">
      <alignment vertical="center" wrapText="1"/>
    </xf>
    <xf numFmtId="4" fontId="6" fillId="0" borderId="9" xfId="0" applyNumberFormat="1" applyFont="1" applyBorder="1" applyAlignment="1">
      <alignment horizontal="right" vertical="center" wrapText="1"/>
    </xf>
    <xf numFmtId="43" fontId="1" fillId="0" borderId="0" xfId="1" applyNumberFormat="1" applyFont="1" applyAlignment="1">
      <alignment vertical="top"/>
    </xf>
    <xf numFmtId="3" fontId="21" fillId="0" borderId="1" xfId="0" applyNumberFormat="1" applyFont="1" applyBorder="1" applyAlignment="1">
      <alignment horizontal="right" vertical="top" wrapText="1"/>
    </xf>
    <xf numFmtId="3" fontId="21" fillId="0" borderId="1" xfId="0" applyNumberFormat="1" applyFont="1" applyBorder="1" applyAlignment="1">
      <alignment horizontal="right" wrapText="1"/>
    </xf>
    <xf numFmtId="0" fontId="0" fillId="0" borderId="1" xfId="0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/>
    </xf>
    <xf numFmtId="0" fontId="22" fillId="0" borderId="1" xfId="0" applyFont="1" applyBorder="1" applyAlignment="1">
      <alignment horizontal="center" vertical="top" wrapText="1"/>
    </xf>
    <xf numFmtId="49" fontId="22" fillId="0" borderId="1" xfId="0" applyNumberFormat="1" applyFont="1" applyBorder="1" applyAlignment="1">
      <alignment horizontal="center" vertical="top"/>
    </xf>
    <xf numFmtId="4" fontId="6" fillId="0" borderId="1" xfId="0" applyNumberFormat="1" applyFont="1" applyBorder="1" applyAlignment="1">
      <alignment vertical="top"/>
    </xf>
    <xf numFmtId="0" fontId="1" fillId="0" borderId="1" xfId="0" applyFont="1" applyBorder="1"/>
    <xf numFmtId="0" fontId="0" fillId="0" borderId="1" xfId="0" applyBorder="1" applyAlignment="1">
      <alignment horizontal="center" vertical="top"/>
    </xf>
    <xf numFmtId="49" fontId="0" fillId="0" borderId="1" xfId="0" applyNumberFormat="1" applyBorder="1" applyAlignment="1">
      <alignment horizontal="center" vertical="top"/>
    </xf>
    <xf numFmtId="4" fontId="1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vertical="top"/>
    </xf>
    <xf numFmtId="2" fontId="0" fillId="0" borderId="1" xfId="0" applyNumberForma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/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2" fontId="6" fillId="0" borderId="1" xfId="0" applyNumberFormat="1" applyFont="1" applyBorder="1" applyAlignment="1">
      <alignment horizontal="center" vertical="top"/>
    </xf>
    <xf numFmtId="4" fontId="23" fillId="0" borderId="1" xfId="0" applyNumberFormat="1" applyFont="1" applyBorder="1" applyAlignment="1">
      <alignment horizontal="center" vertical="top"/>
    </xf>
    <xf numFmtId="0" fontId="23" fillId="0" borderId="1" xfId="0" applyFont="1" applyBorder="1" applyAlignment="1">
      <alignment horizontal="center" vertical="top"/>
    </xf>
    <xf numFmtId="0" fontId="23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18" fillId="0" borderId="15" xfId="0" applyFont="1" applyBorder="1" applyAlignment="1">
      <alignment horizontal="center" vertical="top"/>
    </xf>
    <xf numFmtId="0" fontId="18" fillId="0" borderId="16" xfId="0" applyFont="1" applyBorder="1" applyAlignment="1">
      <alignment horizontal="center" vertical="top"/>
    </xf>
    <xf numFmtId="0" fontId="18" fillId="0" borderId="16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3" fontId="3" fillId="0" borderId="0" xfId="1" applyNumberFormat="1" applyFont="1" applyAlignment="1">
      <alignment vertical="top"/>
    </xf>
    <xf numFmtId="164" fontId="1" fillId="0" borderId="0" xfId="1" applyNumberFormat="1" applyFont="1" applyAlignment="1">
      <alignment vertical="top"/>
    </xf>
    <xf numFmtId="164" fontId="1" fillId="0" borderId="0" xfId="1" applyNumberFormat="1" applyFont="1"/>
    <xf numFmtId="165" fontId="1" fillId="0" borderId="0" xfId="0" applyNumberFormat="1" applyFont="1" applyAlignment="1">
      <alignment vertical="top"/>
    </xf>
    <xf numFmtId="3" fontId="21" fillId="0" borderId="18" xfId="0" applyNumberFormat="1" applyFont="1" applyBorder="1" applyAlignment="1">
      <alignment vertical="center"/>
    </xf>
    <xf numFmtId="3" fontId="21" fillId="0" borderId="19" xfId="0" applyNumberFormat="1" applyFont="1" applyBorder="1" applyAlignment="1">
      <alignment vertical="center"/>
    </xf>
    <xf numFmtId="164" fontId="1" fillId="0" borderId="0" xfId="0" applyNumberFormat="1" applyFont="1" applyAlignment="1">
      <alignment horizontal="right" vertical="top" wrapText="1"/>
    </xf>
    <xf numFmtId="3" fontId="8" fillId="0" borderId="18" xfId="0" applyNumberFormat="1" applyFont="1" applyBorder="1" applyAlignment="1">
      <alignment horizontal="right" vertical="center" wrapText="1"/>
    </xf>
    <xf numFmtId="3" fontId="8" fillId="0" borderId="20" xfId="0" applyNumberFormat="1" applyFont="1" applyBorder="1" applyAlignment="1">
      <alignment horizontal="right" vertical="center" wrapText="1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21" xfId="0" applyNumberFormat="1" applyFont="1" applyBorder="1" applyAlignment="1">
      <alignment horizontal="right" vertical="center" wrapText="1"/>
    </xf>
    <xf numFmtId="3" fontId="24" fillId="0" borderId="18" xfId="0" applyNumberFormat="1" applyFont="1" applyBorder="1" applyAlignment="1">
      <alignment horizontal="right" vertical="center"/>
    </xf>
    <xf numFmtId="3" fontId="24" fillId="0" borderId="19" xfId="0" applyNumberFormat="1" applyFont="1" applyBorder="1" applyAlignment="1">
      <alignment horizontal="right" vertical="center"/>
    </xf>
    <xf numFmtId="164" fontId="1" fillId="0" borderId="0" xfId="0" applyNumberFormat="1" applyFont="1"/>
    <xf numFmtId="0" fontId="5" fillId="0" borderId="5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325086</xdr:colOff>
      <xdr:row>36</xdr:row>
      <xdr:rowOff>957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495173-2CDA-8496-47F6-25AE21CAF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859486" cy="68589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258402</xdr:colOff>
      <xdr:row>36</xdr:row>
      <xdr:rowOff>153378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707F4F-4C49-EA8C-B1A5-6425028800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792802" cy="70113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315305</xdr:colOff>
      <xdr:row>41</xdr:row>
      <xdr:rowOff>96353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67CE12-FD9E-594F-8BB6-51079394C2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020905" cy="790685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0</xdr:rowOff>
    </xdr:from>
    <xdr:to>
      <xdr:col>11</xdr:col>
      <xdr:colOff>172503</xdr:colOff>
      <xdr:row>55</xdr:row>
      <xdr:rowOff>143719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3B95267-43E2-08E8-17FA-A52D1D143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572000"/>
          <a:ext cx="7544853" cy="6049219"/>
        </a:xfrm>
        <a:prstGeom prst="rect">
          <a:avLst/>
        </a:prstGeom>
      </xdr:spPr>
    </xdr:pic>
    <xdr:clientData/>
  </xdr:twoCellAnchor>
  <xdr:twoCellAnchor>
    <xdr:from>
      <xdr:col>16</xdr:col>
      <xdr:colOff>304800</xdr:colOff>
      <xdr:row>37</xdr:row>
      <xdr:rowOff>95250</xdr:rowOff>
    </xdr:from>
    <xdr:to>
      <xdr:col>25</xdr:col>
      <xdr:colOff>552450</xdr:colOff>
      <xdr:row>39</xdr:row>
      <xdr:rowOff>171450</xdr:rowOff>
    </xdr:to>
    <xdr:sp macro="" textlink="">
      <xdr:nvSpPr>
        <xdr:cNvPr id="4097" name="Rectangle 7">
          <a:extLst>
            <a:ext uri="{FF2B5EF4-FFF2-40B4-BE49-F238E27FC236}">
              <a16:creationId xmlns:a16="http://schemas.microsoft.com/office/drawing/2014/main" id="{715250D1-FD99-4D90-927F-6DBDA6C48EA8}"/>
            </a:ext>
          </a:extLst>
        </xdr:cNvPr>
        <xdr:cNvSpPr>
          <a:spLocks noChangeArrowheads="1"/>
        </xdr:cNvSpPr>
      </xdr:nvSpPr>
      <xdr:spPr bwMode="auto">
        <a:xfrm rot="10800000" flipV="1">
          <a:off x="12734925" y="7143750"/>
          <a:ext cx="5734050" cy="457200"/>
        </a:xfrm>
        <a:prstGeom prst="rect">
          <a:avLst/>
        </a:prstGeom>
        <a:noFill/>
        <a:ln w="1270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304800</xdr:colOff>
      <xdr:row>25</xdr:row>
      <xdr:rowOff>114300</xdr:rowOff>
    </xdr:from>
    <xdr:to>
      <xdr:col>25</xdr:col>
      <xdr:colOff>552450</xdr:colOff>
      <xdr:row>28</xdr:row>
      <xdr:rowOff>95250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439E508C-7210-4174-AA44-541D7FA24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34925" y="4876800"/>
          <a:ext cx="5734050" cy="5524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304800</xdr:colOff>
      <xdr:row>28</xdr:row>
      <xdr:rowOff>95250</xdr:rowOff>
    </xdr:from>
    <xdr:to>
      <xdr:col>25</xdr:col>
      <xdr:colOff>552450</xdr:colOff>
      <xdr:row>52</xdr:row>
      <xdr:rowOff>123825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D7CB5AF7-5587-415D-9582-6623B2804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34925" y="5429250"/>
          <a:ext cx="5734050" cy="46005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5"/>
  <sheetViews>
    <sheetView tabSelected="1" zoomScaleNormal="100" workbookViewId="0">
      <pane xSplit="3" ySplit="7" topLeftCell="D32" activePane="bottomRight" state="frozen"/>
      <selection pane="topRight" activeCell="D1" sqref="D1"/>
      <selection pane="bottomLeft" activeCell="A8" sqref="A8"/>
      <selection pane="bottomRight" activeCell="Q21" sqref="Q21"/>
    </sheetView>
  </sheetViews>
  <sheetFormatPr defaultRowHeight="16.5" x14ac:dyDescent="0.3"/>
  <cols>
    <col min="1" max="1" width="9.140625" style="35"/>
    <col min="2" max="2" width="28.7109375" style="2" customWidth="1"/>
    <col min="3" max="3" width="14.140625" style="1" customWidth="1"/>
    <col min="4" max="4" width="16.28515625" style="1" bestFit="1" customWidth="1"/>
    <col min="5" max="5" width="17.5703125" style="1" bestFit="1" customWidth="1"/>
    <col min="6" max="6" width="14.5703125" style="5" bestFit="1" customWidth="1"/>
    <col min="7" max="7" width="13.85546875" style="5" bestFit="1" customWidth="1"/>
    <col min="8" max="8" width="15.28515625" style="5" bestFit="1" customWidth="1"/>
    <col min="9" max="9" width="15.28515625" style="5" customWidth="1"/>
    <col min="10" max="10" width="13.85546875" style="1" bestFit="1" customWidth="1"/>
    <col min="11" max="11" width="15.42578125" style="5" bestFit="1" customWidth="1"/>
    <col min="12" max="12" width="14.140625" style="1" customWidth="1"/>
    <col min="13" max="13" width="13.28515625" style="5" bestFit="1" customWidth="1"/>
    <col min="14" max="14" width="17.42578125" style="5" customWidth="1"/>
    <col min="15" max="15" width="14.85546875" style="5" bestFit="1" customWidth="1"/>
    <col min="16" max="16" width="15.5703125" style="1" bestFit="1" customWidth="1"/>
    <col min="17" max="17" width="23" style="1" bestFit="1" customWidth="1"/>
    <col min="18" max="18" width="10.28515625" style="1" bestFit="1" customWidth="1"/>
    <col min="19" max="19" width="10.85546875" style="1" bestFit="1" customWidth="1"/>
    <col min="20" max="20" width="9.140625" style="1"/>
    <col min="21" max="21" width="11.5703125" style="1" customWidth="1"/>
    <col min="22" max="22" width="10.7109375" style="1" bestFit="1" customWidth="1"/>
    <col min="23" max="23" width="11.140625" style="1" bestFit="1" customWidth="1"/>
    <col min="24" max="24" width="11" style="1" bestFit="1" customWidth="1"/>
    <col min="25" max="25" width="9.7109375" style="1" bestFit="1" customWidth="1"/>
    <col min="26" max="16384" width="9.140625" style="1"/>
  </cols>
  <sheetData>
    <row r="1" spans="1:25" x14ac:dyDescent="0.3">
      <c r="B1" s="10" t="s">
        <v>11</v>
      </c>
      <c r="E1" s="1" t="s">
        <v>30</v>
      </c>
      <c r="F1" s="5" t="s">
        <v>31</v>
      </c>
      <c r="H1" s="5" t="s">
        <v>29</v>
      </c>
      <c r="K1" s="5" t="s">
        <v>19</v>
      </c>
      <c r="O1" s="5" t="s">
        <v>24</v>
      </c>
      <c r="R1" s="5" t="s">
        <v>24</v>
      </c>
    </row>
    <row r="2" spans="1:25" x14ac:dyDescent="0.3">
      <c r="B2" s="20" t="s">
        <v>9</v>
      </c>
      <c r="C2" s="43">
        <v>16040</v>
      </c>
      <c r="D2" s="5" t="s">
        <v>32</v>
      </c>
      <c r="E2" s="4">
        <v>0</v>
      </c>
      <c r="F2" s="4">
        <f>MROUND(E2*10.764,1)</f>
        <v>0</v>
      </c>
      <c r="G2" s="22"/>
      <c r="H2" s="1" t="s">
        <v>30</v>
      </c>
      <c r="I2" s="43">
        <v>0</v>
      </c>
      <c r="J2" s="43">
        <f>C2</f>
        <v>16040</v>
      </c>
      <c r="K2" s="43">
        <f>I3</f>
        <v>0</v>
      </c>
      <c r="L2" s="37">
        <f>J2*K2</f>
        <v>0</v>
      </c>
      <c r="O2" s="40" t="s">
        <v>26</v>
      </c>
      <c r="P2" s="41">
        <f>C37</f>
        <v>348284030</v>
      </c>
      <c r="R2" s="17">
        <f>P2*0.025/12</f>
        <v>725591.72916666663</v>
      </c>
      <c r="S2" s="15" t="s">
        <v>25</v>
      </c>
    </row>
    <row r="3" spans="1:25" x14ac:dyDescent="0.3">
      <c r="B3" s="21" t="s">
        <v>5</v>
      </c>
      <c r="C3" s="15">
        <v>1797</v>
      </c>
      <c r="D3" s="12"/>
      <c r="E3" s="23"/>
      <c r="F3" s="23"/>
      <c r="G3" s="12"/>
      <c r="H3" s="1" t="s">
        <v>31</v>
      </c>
      <c r="I3" s="43">
        <f>MROUND(I2/10.764,1)</f>
        <v>0</v>
      </c>
      <c r="J3" s="43"/>
      <c r="K3" s="37"/>
      <c r="L3" s="37">
        <f>N20</f>
        <v>297460150</v>
      </c>
      <c r="O3" s="40" t="s">
        <v>26</v>
      </c>
      <c r="P3" s="41">
        <f>C37</f>
        <v>348284030</v>
      </c>
      <c r="Q3" s="5"/>
      <c r="R3" s="17">
        <f>P3*0.04/12</f>
        <v>1160946.7666666668</v>
      </c>
      <c r="S3" s="42" t="s">
        <v>27</v>
      </c>
    </row>
    <row r="4" spans="1:25" x14ac:dyDescent="0.3">
      <c r="B4" s="28" t="s">
        <v>14</v>
      </c>
      <c r="C4" s="37">
        <f>ROUND((C2*C3),0)</f>
        <v>28823880</v>
      </c>
      <c r="F4" s="19"/>
      <c r="G4" s="19"/>
      <c r="I4" s="37"/>
      <c r="J4" s="43"/>
      <c r="K4" s="37"/>
      <c r="L4" s="37">
        <f>SUM(L2:L3)</f>
        <v>297460150</v>
      </c>
      <c r="O4" s="40" t="s">
        <v>26</v>
      </c>
      <c r="P4" s="41">
        <f>C37</f>
        <v>348284030</v>
      </c>
      <c r="Q4" s="5"/>
      <c r="R4" s="17">
        <f>P4*0.033/12</f>
        <v>957781.08250000002</v>
      </c>
      <c r="S4" s="15" t="s">
        <v>28</v>
      </c>
    </row>
    <row r="5" spans="1:25" x14ac:dyDescent="0.3">
      <c r="B5" s="10" t="s">
        <v>12</v>
      </c>
    </row>
    <row r="6" spans="1:25" s="3" customFormat="1" ht="57" x14ac:dyDescent="0.2">
      <c r="A6" s="47" t="s">
        <v>18</v>
      </c>
      <c r="B6" s="48" t="s">
        <v>21</v>
      </c>
      <c r="C6" s="48" t="s">
        <v>23</v>
      </c>
      <c r="D6" s="48" t="s">
        <v>0</v>
      </c>
      <c r="E6" s="48" t="s">
        <v>1</v>
      </c>
      <c r="F6" s="48" t="s">
        <v>2</v>
      </c>
      <c r="G6" s="48" t="s">
        <v>33</v>
      </c>
      <c r="H6" s="49" t="s">
        <v>38</v>
      </c>
      <c r="I6" s="49" t="s">
        <v>22</v>
      </c>
      <c r="J6" s="50" t="s">
        <v>3</v>
      </c>
      <c r="K6" s="50" t="s">
        <v>4</v>
      </c>
      <c r="L6" s="49" t="s">
        <v>34</v>
      </c>
      <c r="M6" s="51" t="s">
        <v>20</v>
      </c>
      <c r="N6" s="51" t="s">
        <v>35</v>
      </c>
      <c r="O6" s="51" t="s">
        <v>36</v>
      </c>
      <c r="P6" s="3" t="s">
        <v>69</v>
      </c>
      <c r="Q6" s="3" t="s">
        <v>70</v>
      </c>
    </row>
    <row r="7" spans="1:25" s="3" customFormat="1" ht="15" thickBot="1" x14ac:dyDescent="0.25">
      <c r="A7" s="47"/>
      <c r="B7" s="48"/>
      <c r="C7" s="49" t="s">
        <v>59</v>
      </c>
      <c r="D7" s="48"/>
      <c r="E7" s="48"/>
      <c r="F7" s="48"/>
      <c r="G7" s="52" t="s">
        <v>40</v>
      </c>
      <c r="H7" s="46" t="s">
        <v>39</v>
      </c>
      <c r="I7" s="46" t="s">
        <v>39</v>
      </c>
      <c r="J7" s="50"/>
      <c r="K7" s="50"/>
      <c r="L7" s="50" t="s">
        <v>41</v>
      </c>
      <c r="M7" s="50" t="s">
        <v>41</v>
      </c>
      <c r="N7" s="50" t="s">
        <v>41</v>
      </c>
      <c r="O7" s="50" t="s">
        <v>41</v>
      </c>
    </row>
    <row r="8" spans="1:25" s="8" customFormat="1" ht="33.75" thickBot="1" x14ac:dyDescent="0.3">
      <c r="A8" s="53">
        <v>1</v>
      </c>
      <c r="B8" s="86" t="s">
        <v>100</v>
      </c>
      <c r="C8" s="87"/>
      <c r="D8" s="56"/>
      <c r="E8" s="56"/>
      <c r="F8" s="56"/>
      <c r="G8" s="91"/>
      <c r="H8" s="57">
        <f t="shared" ref="H8" si="0">E8-D8</f>
        <v>0</v>
      </c>
      <c r="I8" s="57">
        <f t="shared" ref="I8" si="1">F8-H8</f>
        <v>0</v>
      </c>
      <c r="J8" s="57">
        <f t="shared" ref="J8" si="2">IF(H8&gt;=5,90*H8/F8,0)</f>
        <v>0</v>
      </c>
      <c r="K8" s="57">
        <f t="shared" ref="K8" si="3">G8/100*J8</f>
        <v>0</v>
      </c>
      <c r="L8" s="57">
        <f t="shared" ref="L8" si="4">ROUND((G8-K8),0)</f>
        <v>0</v>
      </c>
      <c r="M8" s="57">
        <f t="shared" ref="M8" si="5">O8-N8</f>
        <v>0</v>
      </c>
      <c r="N8" s="57">
        <f>ROUND((L8*C8),0)</f>
        <v>0</v>
      </c>
      <c r="O8" s="57">
        <f t="shared" ref="O8" si="6">ROUND((C8*G8),0)</f>
        <v>0</v>
      </c>
      <c r="P8" s="121"/>
      <c r="Q8" s="119">
        <f>O8*P8%</f>
        <v>0</v>
      </c>
      <c r="S8" s="8">
        <f>4464*27000</f>
        <v>120528000</v>
      </c>
      <c r="T8" s="8" t="e">
        <f>S8/O8</f>
        <v>#DIV/0!</v>
      </c>
      <c r="V8" s="8">
        <v>253200000</v>
      </c>
      <c r="W8" s="87">
        <v>9410.4500000000007</v>
      </c>
      <c r="X8" s="8">
        <f>V8/W8</f>
        <v>26906.258467979744</v>
      </c>
      <c r="Y8" s="90">
        <f>ROUND(X8*1,0)</f>
        <v>26906</v>
      </c>
    </row>
    <row r="9" spans="1:25" s="8" customFormat="1" ht="17.25" thickBot="1" x14ac:dyDescent="0.3">
      <c r="A9" s="53"/>
      <c r="B9" s="88" t="s">
        <v>95</v>
      </c>
      <c r="C9" s="89">
        <v>4464</v>
      </c>
      <c r="D9" s="56">
        <v>2023</v>
      </c>
      <c r="E9" s="56">
        <v>2024</v>
      </c>
      <c r="F9" s="56">
        <v>60</v>
      </c>
      <c r="G9" s="91">
        <v>27000</v>
      </c>
      <c r="H9" s="57">
        <f t="shared" ref="H9" si="7">E9-D9</f>
        <v>1</v>
      </c>
      <c r="I9" s="57">
        <f t="shared" ref="I9" si="8">F9-H9</f>
        <v>59</v>
      </c>
      <c r="J9" s="57">
        <f t="shared" ref="J9" si="9">IF(H9&gt;=5,90*H9/F9,0)</f>
        <v>0</v>
      </c>
      <c r="K9" s="57">
        <f t="shared" ref="K9" si="10">G9/100*J9</f>
        <v>0</v>
      </c>
      <c r="L9" s="57">
        <f t="shared" ref="L9" si="11">ROUND((G9-K9),0)</f>
        <v>27000</v>
      </c>
      <c r="M9" s="57">
        <f t="shared" ref="M9" si="12">O9-N9</f>
        <v>0</v>
      </c>
      <c r="N9" s="57">
        <f>ROUND((L9*C9),0)</f>
        <v>120528000</v>
      </c>
      <c r="O9" s="57">
        <f t="shared" ref="O9" si="13">ROUND((C9*G9),0)</f>
        <v>120528000</v>
      </c>
      <c r="P9" s="8">
        <v>100</v>
      </c>
      <c r="Q9" s="119">
        <f t="shared" ref="Q9:Q12" si="14">O9*P9%</f>
        <v>120528000</v>
      </c>
      <c r="W9" s="89"/>
      <c r="Y9" s="90"/>
    </row>
    <row r="10" spans="1:25" s="8" customFormat="1" ht="17.25" thickBot="1" x14ac:dyDescent="0.3">
      <c r="A10" s="53"/>
      <c r="B10" s="88" t="s">
        <v>96</v>
      </c>
      <c r="C10" s="89">
        <v>1665.32</v>
      </c>
      <c r="D10" s="56">
        <v>2024</v>
      </c>
      <c r="E10" s="56">
        <v>2024</v>
      </c>
      <c r="F10" s="56">
        <v>60</v>
      </c>
      <c r="G10" s="91">
        <v>27000</v>
      </c>
      <c r="H10" s="57">
        <f t="shared" ref="H10:H12" si="15">E10-D10</f>
        <v>0</v>
      </c>
      <c r="I10" s="57">
        <f t="shared" ref="I10:I12" si="16">F10-H10</f>
        <v>60</v>
      </c>
      <c r="J10" s="57">
        <f t="shared" ref="J10:J12" si="17">IF(H10&gt;=5,90*H10/F10,0)</f>
        <v>0</v>
      </c>
      <c r="K10" s="57">
        <f t="shared" ref="K10:K12" si="18">G10/100*J10</f>
        <v>0</v>
      </c>
      <c r="L10" s="57">
        <f t="shared" ref="L10:L12" si="19">ROUND((G10-K10),0)</f>
        <v>27000</v>
      </c>
      <c r="M10" s="57">
        <f t="shared" ref="M10:M12" si="20">O10-N10</f>
        <v>0</v>
      </c>
      <c r="N10" s="57">
        <f t="shared" ref="N10:N12" si="21">ROUND((L10*C10),0)</f>
        <v>44963640</v>
      </c>
      <c r="O10" s="57">
        <f t="shared" ref="O10:O12" si="22">ROUND((C10*G10),0)</f>
        <v>44963640</v>
      </c>
      <c r="P10" s="8">
        <v>20</v>
      </c>
      <c r="Q10" s="119">
        <f t="shared" si="14"/>
        <v>8992728</v>
      </c>
      <c r="W10" s="89"/>
      <c r="Y10" s="90"/>
    </row>
    <row r="11" spans="1:25" s="8" customFormat="1" ht="17.25" thickBot="1" x14ac:dyDescent="0.3">
      <c r="A11" s="53"/>
      <c r="B11" s="88" t="s">
        <v>97</v>
      </c>
      <c r="C11" s="89">
        <v>2210.2300000000009</v>
      </c>
      <c r="D11" s="56">
        <v>2024</v>
      </c>
      <c r="E11" s="56">
        <v>2024</v>
      </c>
      <c r="F11" s="56">
        <v>60</v>
      </c>
      <c r="G11" s="91">
        <v>27000</v>
      </c>
      <c r="H11" s="57">
        <f t="shared" si="15"/>
        <v>0</v>
      </c>
      <c r="I11" s="57">
        <f t="shared" si="16"/>
        <v>60</v>
      </c>
      <c r="J11" s="57">
        <f t="shared" si="17"/>
        <v>0</v>
      </c>
      <c r="K11" s="57">
        <f t="shared" si="18"/>
        <v>0</v>
      </c>
      <c r="L11" s="57">
        <f t="shared" si="19"/>
        <v>27000</v>
      </c>
      <c r="M11" s="57">
        <f t="shared" si="20"/>
        <v>0</v>
      </c>
      <c r="N11" s="57">
        <f t="shared" si="21"/>
        <v>59676210</v>
      </c>
      <c r="O11" s="57">
        <f t="shared" si="22"/>
        <v>59676210</v>
      </c>
      <c r="P11" s="8">
        <v>10</v>
      </c>
      <c r="Q11" s="119">
        <f t="shared" si="14"/>
        <v>5967621</v>
      </c>
      <c r="W11" s="89"/>
      <c r="Y11" s="90"/>
    </row>
    <row r="12" spans="1:25" s="8" customFormat="1" ht="17.25" thickBot="1" x14ac:dyDescent="0.3">
      <c r="A12" s="53"/>
      <c r="B12" s="88" t="s">
        <v>98</v>
      </c>
      <c r="C12" s="89">
        <v>1070.9000000000001</v>
      </c>
      <c r="D12" s="56">
        <v>2024</v>
      </c>
      <c r="E12" s="56">
        <v>2024</v>
      </c>
      <c r="F12" s="56">
        <v>60</v>
      </c>
      <c r="G12" s="91">
        <v>27000</v>
      </c>
      <c r="H12" s="57">
        <f t="shared" si="15"/>
        <v>0</v>
      </c>
      <c r="I12" s="57">
        <f t="shared" si="16"/>
        <v>60</v>
      </c>
      <c r="J12" s="57">
        <f t="shared" si="17"/>
        <v>0</v>
      </c>
      <c r="K12" s="57">
        <f t="shared" si="18"/>
        <v>0</v>
      </c>
      <c r="L12" s="57">
        <f t="shared" si="19"/>
        <v>27000</v>
      </c>
      <c r="M12" s="57">
        <f t="shared" si="20"/>
        <v>0</v>
      </c>
      <c r="N12" s="57">
        <f t="shared" si="21"/>
        <v>28914300</v>
      </c>
      <c r="O12" s="57">
        <f t="shared" si="22"/>
        <v>28914300</v>
      </c>
      <c r="P12" s="8">
        <v>20</v>
      </c>
      <c r="Q12" s="119">
        <f t="shared" si="14"/>
        <v>5782860</v>
      </c>
      <c r="W12" s="89"/>
      <c r="Y12" s="90"/>
    </row>
    <row r="13" spans="1:25" s="8" customFormat="1" ht="17.25" thickBot="1" x14ac:dyDescent="0.3">
      <c r="A13" s="53">
        <v>2</v>
      </c>
      <c r="B13" s="88" t="s">
        <v>52</v>
      </c>
      <c r="C13" s="89">
        <v>1440</v>
      </c>
      <c r="D13" s="56">
        <v>2023</v>
      </c>
      <c r="E13" s="56">
        <v>2024</v>
      </c>
      <c r="F13" s="56">
        <v>60</v>
      </c>
      <c r="G13" s="91">
        <v>27000</v>
      </c>
      <c r="H13" s="57">
        <f t="shared" ref="H13:H15" si="23">E13-D13</f>
        <v>1</v>
      </c>
      <c r="I13" s="57">
        <f t="shared" ref="I13:I19" si="24">F13-H13</f>
        <v>59</v>
      </c>
      <c r="J13" s="57">
        <f t="shared" ref="J13:J15" si="25">IF(H13&gt;=5,90*H13/F13,0)</f>
        <v>0</v>
      </c>
      <c r="K13" s="57">
        <f t="shared" ref="K13:K15" si="26">G13/100*J13</f>
        <v>0</v>
      </c>
      <c r="L13" s="57">
        <f t="shared" ref="L13:L15" si="27">ROUND((G13-K13),0)</f>
        <v>27000</v>
      </c>
      <c r="M13" s="57">
        <f t="shared" ref="M13:M15" si="28">O13-N13</f>
        <v>0</v>
      </c>
      <c r="N13" s="57">
        <f t="shared" ref="N13:N15" si="29">ROUND((L13*C13),0)</f>
        <v>38880000</v>
      </c>
      <c r="O13" s="57">
        <f t="shared" ref="O13:O15" si="30">ROUND((C13*G13),0)</f>
        <v>38880000</v>
      </c>
      <c r="P13" s="8">
        <v>100</v>
      </c>
      <c r="Q13" s="119">
        <f t="shared" ref="Q13:Q18" si="31">O13*P13%</f>
        <v>38880000</v>
      </c>
      <c r="V13" s="8">
        <v>38500000</v>
      </c>
      <c r="W13" s="89">
        <v>1440</v>
      </c>
      <c r="X13" s="8">
        <f>V13/W13</f>
        <v>26736.111111111109</v>
      </c>
      <c r="Y13" s="90">
        <f t="shared" ref="Y13:Y18" si="32">ROUND(X13*1,0)</f>
        <v>26736</v>
      </c>
    </row>
    <row r="14" spans="1:25" s="8" customFormat="1" ht="17.25" customHeight="1" thickBot="1" x14ac:dyDescent="0.3">
      <c r="A14" s="53">
        <v>3</v>
      </c>
      <c r="B14" s="88" t="s">
        <v>53</v>
      </c>
      <c r="C14" s="89">
        <v>114</v>
      </c>
      <c r="D14" s="56">
        <v>2023</v>
      </c>
      <c r="E14" s="56">
        <v>2024</v>
      </c>
      <c r="F14" s="56">
        <v>60</v>
      </c>
      <c r="G14" s="91">
        <v>27000</v>
      </c>
      <c r="H14" s="57">
        <f t="shared" si="23"/>
        <v>1</v>
      </c>
      <c r="I14" s="57">
        <f t="shared" si="24"/>
        <v>59</v>
      </c>
      <c r="J14" s="57">
        <f t="shared" si="25"/>
        <v>0</v>
      </c>
      <c r="K14" s="57">
        <f t="shared" si="26"/>
        <v>0</v>
      </c>
      <c r="L14" s="57">
        <f t="shared" si="27"/>
        <v>27000</v>
      </c>
      <c r="M14" s="57">
        <f t="shared" si="28"/>
        <v>0</v>
      </c>
      <c r="N14" s="57">
        <f t="shared" si="29"/>
        <v>3078000</v>
      </c>
      <c r="O14" s="57">
        <f t="shared" si="30"/>
        <v>3078000</v>
      </c>
      <c r="P14" s="8">
        <v>100</v>
      </c>
      <c r="Q14" s="119">
        <f t="shared" si="31"/>
        <v>3078000</v>
      </c>
      <c r="V14" s="8">
        <v>3100000</v>
      </c>
      <c r="W14" s="89">
        <v>114</v>
      </c>
      <c r="X14" s="8">
        <f t="shared" ref="X14:X18" si="33">V14/W14</f>
        <v>27192.982456140351</v>
      </c>
      <c r="Y14" s="90">
        <f t="shared" si="32"/>
        <v>27193</v>
      </c>
    </row>
    <row r="15" spans="1:25" s="8" customFormat="1" ht="17.25" thickBot="1" x14ac:dyDescent="0.3">
      <c r="A15" s="53">
        <v>4</v>
      </c>
      <c r="B15" s="88" t="s">
        <v>99</v>
      </c>
      <c r="C15" s="89">
        <v>6</v>
      </c>
      <c r="D15" s="56">
        <v>2023</v>
      </c>
      <c r="E15" s="56">
        <v>2024</v>
      </c>
      <c r="F15" s="56">
        <v>60</v>
      </c>
      <c r="G15" s="91">
        <v>17000</v>
      </c>
      <c r="H15" s="57">
        <f t="shared" si="23"/>
        <v>1</v>
      </c>
      <c r="I15" s="57">
        <f t="shared" si="24"/>
        <v>59</v>
      </c>
      <c r="J15" s="57">
        <f t="shared" si="25"/>
        <v>0</v>
      </c>
      <c r="K15" s="57">
        <f t="shared" si="26"/>
        <v>0</v>
      </c>
      <c r="L15" s="57">
        <f t="shared" si="27"/>
        <v>17000</v>
      </c>
      <c r="M15" s="57">
        <f t="shared" si="28"/>
        <v>0</v>
      </c>
      <c r="N15" s="57">
        <f t="shared" si="29"/>
        <v>102000</v>
      </c>
      <c r="O15" s="57">
        <f t="shared" si="30"/>
        <v>102000</v>
      </c>
      <c r="P15" s="8">
        <v>100</v>
      </c>
      <c r="Q15" s="119">
        <f t="shared" si="31"/>
        <v>102000</v>
      </c>
      <c r="V15" s="8">
        <v>100000</v>
      </c>
      <c r="W15" s="89">
        <v>6</v>
      </c>
      <c r="X15" s="8">
        <f t="shared" si="33"/>
        <v>16666.666666666668</v>
      </c>
      <c r="Y15" s="90">
        <f t="shared" si="32"/>
        <v>16667</v>
      </c>
    </row>
    <row r="16" spans="1:25" s="8" customFormat="1" ht="17.25" thickBot="1" x14ac:dyDescent="0.3">
      <c r="A16" s="53">
        <v>5</v>
      </c>
      <c r="B16" s="88" t="s">
        <v>56</v>
      </c>
      <c r="C16" s="89">
        <v>9</v>
      </c>
      <c r="D16" s="56">
        <v>2023</v>
      </c>
      <c r="E16" s="56">
        <v>2024</v>
      </c>
      <c r="F16" s="56">
        <v>60</v>
      </c>
      <c r="G16" s="91">
        <v>22000</v>
      </c>
      <c r="H16" s="57">
        <f t="shared" ref="H16:H19" si="34">E16-D16</f>
        <v>1</v>
      </c>
      <c r="I16" s="57">
        <f t="shared" si="24"/>
        <v>59</v>
      </c>
      <c r="J16" s="57">
        <f t="shared" ref="J16:J19" si="35">IF(H16&gt;=5,90*H16/F16,0)</f>
        <v>0</v>
      </c>
      <c r="K16" s="57">
        <f t="shared" ref="K16:K19" si="36">G16/100*J16</f>
        <v>0</v>
      </c>
      <c r="L16" s="57">
        <f t="shared" ref="L16:L19" si="37">ROUND((G16-K16),0)</f>
        <v>22000</v>
      </c>
      <c r="M16" s="57">
        <f t="shared" ref="M16:M19" si="38">O16-N16</f>
        <v>0</v>
      </c>
      <c r="N16" s="57">
        <f t="shared" ref="N16:N19" si="39">ROUND((L16*C16),0)</f>
        <v>198000</v>
      </c>
      <c r="O16" s="57">
        <f t="shared" ref="O16:O19" si="40">ROUND((C16*G16),0)</f>
        <v>198000</v>
      </c>
      <c r="P16" s="8">
        <v>100</v>
      </c>
      <c r="Q16" s="119">
        <f t="shared" si="31"/>
        <v>198000</v>
      </c>
      <c r="V16" s="8">
        <v>200000</v>
      </c>
      <c r="W16" s="89">
        <v>9</v>
      </c>
      <c r="X16" s="8">
        <f t="shared" si="33"/>
        <v>22222.222222222223</v>
      </c>
      <c r="Y16" s="90">
        <f t="shared" si="32"/>
        <v>22222</v>
      </c>
    </row>
    <row r="17" spans="1:31" ht="17.25" thickBot="1" x14ac:dyDescent="0.35">
      <c r="A17" s="58">
        <v>6</v>
      </c>
      <c r="B17" s="88" t="s">
        <v>57</v>
      </c>
      <c r="C17" s="89">
        <v>16</v>
      </c>
      <c r="D17" s="56">
        <v>2023</v>
      </c>
      <c r="E17" s="56">
        <v>2024</v>
      </c>
      <c r="F17" s="59">
        <v>60</v>
      </c>
      <c r="G17" s="92">
        <v>25000</v>
      </c>
      <c r="H17" s="57">
        <f t="shared" si="34"/>
        <v>1</v>
      </c>
      <c r="I17" s="57">
        <f t="shared" si="24"/>
        <v>59</v>
      </c>
      <c r="J17" s="57">
        <f t="shared" si="35"/>
        <v>0</v>
      </c>
      <c r="K17" s="57">
        <f t="shared" si="36"/>
        <v>0</v>
      </c>
      <c r="L17" s="57">
        <f t="shared" si="37"/>
        <v>25000</v>
      </c>
      <c r="M17" s="61">
        <f t="shared" si="38"/>
        <v>0</v>
      </c>
      <c r="N17" s="57">
        <f t="shared" si="39"/>
        <v>400000</v>
      </c>
      <c r="O17" s="57">
        <f t="shared" si="40"/>
        <v>400000</v>
      </c>
      <c r="P17" s="8">
        <v>100</v>
      </c>
      <c r="Q17" s="119">
        <f t="shared" si="31"/>
        <v>400000</v>
      </c>
      <c r="V17" s="1">
        <v>400000</v>
      </c>
      <c r="W17" s="89">
        <v>16</v>
      </c>
      <c r="X17" s="8">
        <f t="shared" si="33"/>
        <v>25000</v>
      </c>
      <c r="Y17" s="90">
        <f t="shared" si="32"/>
        <v>25000</v>
      </c>
    </row>
    <row r="18" spans="1:31" ht="17.25" thickBot="1" x14ac:dyDescent="0.35">
      <c r="A18" s="58">
        <v>7</v>
      </c>
      <c r="B18" s="88" t="s">
        <v>58</v>
      </c>
      <c r="C18" s="89">
        <v>36</v>
      </c>
      <c r="D18" s="56">
        <v>2023</v>
      </c>
      <c r="E18" s="56">
        <v>2024</v>
      </c>
      <c r="F18" s="59">
        <v>60</v>
      </c>
      <c r="G18" s="92">
        <v>20000</v>
      </c>
      <c r="H18" s="57">
        <f t="shared" si="34"/>
        <v>1</v>
      </c>
      <c r="I18" s="57">
        <f t="shared" si="24"/>
        <v>59</v>
      </c>
      <c r="J18" s="57">
        <f t="shared" si="35"/>
        <v>0</v>
      </c>
      <c r="K18" s="57">
        <f t="shared" si="36"/>
        <v>0</v>
      </c>
      <c r="L18" s="57">
        <f t="shared" si="37"/>
        <v>20000</v>
      </c>
      <c r="M18" s="61">
        <f t="shared" si="38"/>
        <v>0</v>
      </c>
      <c r="N18" s="57">
        <f t="shared" si="39"/>
        <v>720000</v>
      </c>
      <c r="O18" s="57">
        <f t="shared" si="40"/>
        <v>720000</v>
      </c>
      <c r="P18" s="8">
        <v>100</v>
      </c>
      <c r="Q18" s="119">
        <f t="shared" si="31"/>
        <v>720000</v>
      </c>
      <c r="V18" s="1">
        <v>1000000</v>
      </c>
      <c r="W18" s="89">
        <v>36</v>
      </c>
      <c r="X18" s="8">
        <f t="shared" si="33"/>
        <v>27777.777777777777</v>
      </c>
      <c r="Y18" s="90">
        <f t="shared" si="32"/>
        <v>27778</v>
      </c>
    </row>
    <row r="19" spans="1:31" x14ac:dyDescent="0.3">
      <c r="A19" s="58"/>
      <c r="B19" s="54"/>
      <c r="C19" s="55"/>
      <c r="D19" s="59">
        <v>0</v>
      </c>
      <c r="E19" s="59">
        <v>0</v>
      </c>
      <c r="F19" s="59">
        <v>60</v>
      </c>
      <c r="G19" s="60">
        <v>0</v>
      </c>
      <c r="H19" s="57">
        <f t="shared" si="34"/>
        <v>0</v>
      </c>
      <c r="I19" s="57">
        <f t="shared" si="24"/>
        <v>60</v>
      </c>
      <c r="J19" s="57">
        <f t="shared" si="35"/>
        <v>0</v>
      </c>
      <c r="K19" s="57">
        <f t="shared" si="36"/>
        <v>0</v>
      </c>
      <c r="L19" s="57">
        <f t="shared" si="37"/>
        <v>0</v>
      </c>
      <c r="M19" s="61">
        <f t="shared" si="38"/>
        <v>0</v>
      </c>
      <c r="N19" s="57">
        <f t="shared" si="39"/>
        <v>0</v>
      </c>
      <c r="O19" s="57">
        <f t="shared" si="40"/>
        <v>0</v>
      </c>
      <c r="P19" s="8"/>
      <c r="Q19" s="120"/>
    </row>
    <row r="20" spans="1:31" x14ac:dyDescent="0.3">
      <c r="A20" s="58"/>
      <c r="B20" s="62"/>
      <c r="C20" s="85">
        <f>SUM(C8:C19)</f>
        <v>11031.45</v>
      </c>
      <c r="D20" s="63"/>
      <c r="E20" s="63"/>
      <c r="F20" s="64"/>
      <c r="G20" s="57"/>
      <c r="H20" s="57"/>
      <c r="I20" s="57"/>
      <c r="J20" s="65"/>
      <c r="K20" s="57"/>
      <c r="L20" s="65"/>
      <c r="M20" s="57">
        <f>SUM(M8:M19)</f>
        <v>0</v>
      </c>
      <c r="N20" s="57">
        <f>SUM(N8:N19)</f>
        <v>297460150</v>
      </c>
      <c r="O20" s="57">
        <f>SUM(O8:O19)</f>
        <v>297460150</v>
      </c>
      <c r="Q20" s="120">
        <f>SUM(Q8:Q19)</f>
        <v>184649209</v>
      </c>
      <c r="V20" s="1">
        <f>4464*27000</f>
        <v>120528000</v>
      </c>
    </row>
    <row r="21" spans="1:31" x14ac:dyDescent="0.3">
      <c r="B21" s="7"/>
      <c r="C21" s="8"/>
      <c r="D21" s="8"/>
      <c r="E21" s="8"/>
      <c r="F21" s="9"/>
      <c r="G21" s="9"/>
      <c r="H21" s="9"/>
      <c r="I21" s="9"/>
      <c r="J21" s="8"/>
      <c r="K21" s="13"/>
      <c r="L21" s="14"/>
      <c r="M21" s="9"/>
      <c r="N21" s="24"/>
      <c r="O21" s="24"/>
      <c r="Q21" s="131">
        <f>O20-Q20</f>
        <v>112810941</v>
      </c>
    </row>
    <row r="22" spans="1:31" x14ac:dyDescent="0.3">
      <c r="B22" s="132" t="s">
        <v>16</v>
      </c>
      <c r="C22" s="132"/>
      <c r="D22" s="8"/>
      <c r="E22" s="8"/>
      <c r="F22" s="9"/>
      <c r="G22" s="9"/>
      <c r="H22" s="9"/>
      <c r="I22" s="9"/>
      <c r="J22" s="8"/>
      <c r="K22" s="13"/>
      <c r="L22" s="14"/>
      <c r="M22" s="9"/>
      <c r="N22" s="24"/>
      <c r="O22" s="24"/>
    </row>
    <row r="23" spans="1:31" ht="33" x14ac:dyDescent="0.3">
      <c r="B23" s="20" t="s">
        <v>15</v>
      </c>
      <c r="C23" s="39">
        <f>36*13*1.5</f>
        <v>702</v>
      </c>
      <c r="D23" s="8"/>
      <c r="E23" s="8"/>
      <c r="F23" s="9"/>
      <c r="G23" s="9"/>
      <c r="H23" s="94" t="s">
        <v>71</v>
      </c>
      <c r="I23" s="95" t="s">
        <v>21</v>
      </c>
      <c r="J23" s="96" t="s">
        <v>72</v>
      </c>
      <c r="K23" s="109" t="s">
        <v>51</v>
      </c>
      <c r="L23" s="109" t="s">
        <v>52</v>
      </c>
      <c r="M23" s="110" t="s">
        <v>53</v>
      </c>
      <c r="N23" s="109" t="s">
        <v>55</v>
      </c>
      <c r="O23" s="111" t="s">
        <v>56</v>
      </c>
      <c r="P23" s="111" t="s">
        <v>57</v>
      </c>
      <c r="Q23" s="111" t="s">
        <v>58</v>
      </c>
      <c r="R23" s="105"/>
      <c r="T23" s="1">
        <v>832.66</v>
      </c>
      <c r="U23" s="1">
        <f>T23*2</f>
        <v>1665.32</v>
      </c>
      <c r="V23" s="1">
        <f>9410.5</f>
        <v>9410.5</v>
      </c>
      <c r="W23" s="1">
        <v>4464</v>
      </c>
      <c r="X23" s="1">
        <f>V23-W23</f>
        <v>4946.5</v>
      </c>
      <c r="Y23" s="1">
        <f>W23/V23</f>
        <v>0.47436374262791564</v>
      </c>
    </row>
    <row r="24" spans="1:31" x14ac:dyDescent="0.3">
      <c r="B24" s="21" t="s">
        <v>5</v>
      </c>
      <c r="C24" s="36">
        <v>15000</v>
      </c>
      <c r="D24" s="8"/>
      <c r="E24" s="8">
        <f>702*15000</f>
        <v>10530000</v>
      </c>
      <c r="F24" s="9">
        <v>16040</v>
      </c>
      <c r="G24" s="9"/>
      <c r="H24" s="99"/>
      <c r="I24" s="93"/>
      <c r="J24" s="100"/>
      <c r="K24" s="12"/>
      <c r="L24" s="101"/>
      <c r="M24" s="102"/>
      <c r="N24" s="97"/>
      <c r="O24" s="97"/>
      <c r="P24" s="98"/>
      <c r="Q24" s="98"/>
      <c r="R24" s="98"/>
      <c r="T24" s="1">
        <v>27000</v>
      </c>
      <c r="U24" s="1">
        <v>27000</v>
      </c>
      <c r="Y24" s="1">
        <v>100</v>
      </c>
      <c r="Z24" s="1">
        <v>47.43</v>
      </c>
      <c r="AA24" s="1">
        <f>Y24-Z24</f>
        <v>52.57</v>
      </c>
    </row>
    <row r="25" spans="1:31" ht="45" x14ac:dyDescent="0.3">
      <c r="B25" s="21" t="s">
        <v>6</v>
      </c>
      <c r="C25" s="38">
        <f>MROUND((C23*C24),1000000)</f>
        <v>11000000</v>
      </c>
      <c r="D25" s="8"/>
      <c r="E25" s="8"/>
      <c r="F25" s="5">
        <v>5176</v>
      </c>
      <c r="H25" s="99">
        <v>1</v>
      </c>
      <c r="I25" s="93" t="s">
        <v>73</v>
      </c>
      <c r="J25" s="103">
        <v>5</v>
      </c>
      <c r="K25" s="103">
        <v>5</v>
      </c>
      <c r="L25" s="103">
        <v>5</v>
      </c>
      <c r="M25" s="103">
        <v>5</v>
      </c>
      <c r="N25" s="103">
        <v>5</v>
      </c>
      <c r="O25" s="103">
        <v>5</v>
      </c>
      <c r="P25" s="103">
        <v>5</v>
      </c>
      <c r="Q25" s="103">
        <v>5</v>
      </c>
      <c r="R25" s="103"/>
      <c r="T25" s="1">
        <f>T23*T24</f>
        <v>22481820</v>
      </c>
      <c r="U25" s="1">
        <f>U23*U24</f>
        <v>44963640</v>
      </c>
      <c r="X25" s="1">
        <f>Y24-Y23</f>
        <v>99.525636257372085</v>
      </c>
    </row>
    <row r="26" spans="1:31" x14ac:dyDescent="0.3">
      <c r="B26" s="7"/>
      <c r="C26" s="8"/>
      <c r="D26" s="8"/>
      <c r="E26" s="8"/>
      <c r="F26" s="5">
        <f>F24-F25</f>
        <v>10864</v>
      </c>
      <c r="H26" s="99">
        <v>2</v>
      </c>
      <c r="I26" s="93" t="s">
        <v>74</v>
      </c>
      <c r="J26" s="103">
        <v>5</v>
      </c>
      <c r="K26" s="103">
        <v>5</v>
      </c>
      <c r="L26" s="103">
        <v>5</v>
      </c>
      <c r="M26" s="103">
        <v>5</v>
      </c>
      <c r="N26" s="103">
        <v>5</v>
      </c>
      <c r="O26" s="103">
        <v>5</v>
      </c>
      <c r="P26" s="103">
        <v>5</v>
      </c>
      <c r="Q26" s="103">
        <v>5</v>
      </c>
      <c r="R26" s="103"/>
      <c r="T26" s="1">
        <f>T25*20%</f>
        <v>4496364</v>
      </c>
      <c r="U26" s="1">
        <f>U25*20%</f>
        <v>8992728</v>
      </c>
    </row>
    <row r="27" spans="1:31" ht="30" x14ac:dyDescent="0.3">
      <c r="B27" s="133" t="s">
        <v>13</v>
      </c>
      <c r="C27" s="134"/>
      <c r="D27" s="8"/>
      <c r="E27" s="8"/>
      <c r="H27" s="99">
        <v>3</v>
      </c>
      <c r="I27" s="93" t="s">
        <v>75</v>
      </c>
      <c r="J27" s="103">
        <v>40</v>
      </c>
      <c r="K27" s="103">
        <v>40</v>
      </c>
      <c r="L27" s="103">
        <v>40</v>
      </c>
      <c r="M27" s="103">
        <v>40</v>
      </c>
      <c r="N27" s="103">
        <v>40</v>
      </c>
      <c r="O27" s="103">
        <v>40</v>
      </c>
      <c r="P27" s="103">
        <v>40</v>
      </c>
      <c r="Q27" s="103">
        <v>40</v>
      </c>
      <c r="R27" s="103"/>
      <c r="V27" s="1">
        <v>9410.4500000000007</v>
      </c>
    </row>
    <row r="28" spans="1:31" ht="30" x14ac:dyDescent="0.3">
      <c r="B28" s="20" t="s">
        <v>9</v>
      </c>
      <c r="C28" s="39">
        <v>10864</v>
      </c>
      <c r="E28" s="25"/>
      <c r="H28" s="99">
        <v>4</v>
      </c>
      <c r="I28" s="93" t="s">
        <v>76</v>
      </c>
      <c r="J28" s="103">
        <v>7</v>
      </c>
      <c r="K28" s="103">
        <v>7</v>
      </c>
      <c r="L28" s="103">
        <v>7</v>
      </c>
      <c r="M28" s="103">
        <v>7</v>
      </c>
      <c r="N28" s="103">
        <v>7</v>
      </c>
      <c r="O28" s="103">
        <v>7</v>
      </c>
      <c r="P28" s="103">
        <v>7</v>
      </c>
      <c r="Q28" s="103">
        <v>7</v>
      </c>
      <c r="R28" s="103"/>
    </row>
    <row r="29" spans="1:31" ht="30" x14ac:dyDescent="0.3">
      <c r="B29" s="21" t="s">
        <v>5</v>
      </c>
      <c r="C29" s="36">
        <v>1100</v>
      </c>
      <c r="D29" s="27"/>
      <c r="E29" s="19"/>
      <c r="H29" s="99">
        <v>5</v>
      </c>
      <c r="I29" s="93" t="s">
        <v>77</v>
      </c>
      <c r="J29" s="103">
        <v>7</v>
      </c>
      <c r="K29" s="103">
        <v>7</v>
      </c>
      <c r="L29" s="103">
        <v>7</v>
      </c>
      <c r="M29" s="103">
        <v>7</v>
      </c>
      <c r="N29" s="103">
        <v>7</v>
      </c>
      <c r="O29" s="103">
        <v>7</v>
      </c>
      <c r="P29" s="103">
        <v>7</v>
      </c>
      <c r="Q29" s="103">
        <v>7</v>
      </c>
      <c r="R29" s="103"/>
    </row>
    <row r="30" spans="1:31" ht="30" x14ac:dyDescent="0.3">
      <c r="B30" s="21" t="s">
        <v>6</v>
      </c>
      <c r="C30" s="38">
        <f>MROUND((C28*C29),100000)</f>
        <v>12000000</v>
      </c>
      <c r="D30" s="6"/>
      <c r="E30" s="6"/>
      <c r="H30" s="99">
        <v>6</v>
      </c>
      <c r="I30" s="93" t="s">
        <v>78</v>
      </c>
      <c r="J30" s="103">
        <v>3.5</v>
      </c>
      <c r="K30" s="103">
        <v>3.5</v>
      </c>
      <c r="L30" s="103">
        <v>3.5</v>
      </c>
      <c r="M30" s="103">
        <v>3.5</v>
      </c>
      <c r="N30" s="103">
        <v>3.5</v>
      </c>
      <c r="O30" s="103">
        <v>3.5</v>
      </c>
      <c r="P30" s="103">
        <v>3.5</v>
      </c>
      <c r="Q30" s="103">
        <v>3.5</v>
      </c>
      <c r="R30" s="103"/>
      <c r="W30" s="1">
        <f>4464/9410.5</f>
        <v>0.47436374262791564</v>
      </c>
      <c r="X30" s="1">
        <f>X23/V23</f>
        <v>0.52563625737208441</v>
      </c>
      <c r="AA30" s="1">
        <v>19.7</v>
      </c>
      <c r="AB30" s="1">
        <v>62</v>
      </c>
      <c r="AC30" s="1">
        <f>AA30*AB30</f>
        <v>1221.3999999999999</v>
      </c>
      <c r="AD30" s="1">
        <v>2</v>
      </c>
      <c r="AE30" s="1">
        <f>AC30*AD30</f>
        <v>2442.7999999999997</v>
      </c>
    </row>
    <row r="31" spans="1:31" ht="30" x14ac:dyDescent="0.3">
      <c r="B31" s="35"/>
      <c r="C31" s="16"/>
      <c r="D31" s="6"/>
      <c r="E31" s="6"/>
      <c r="H31" s="99">
        <v>7</v>
      </c>
      <c r="I31" s="93" t="s">
        <v>79</v>
      </c>
      <c r="J31" s="103">
        <v>3.5</v>
      </c>
      <c r="K31" s="103">
        <v>3.5</v>
      </c>
      <c r="L31" s="103">
        <v>3.5</v>
      </c>
      <c r="M31" s="103">
        <v>3.5</v>
      </c>
      <c r="N31" s="103">
        <v>3.5</v>
      </c>
      <c r="O31" s="103">
        <v>3.5</v>
      </c>
      <c r="P31" s="103">
        <v>3.5</v>
      </c>
      <c r="Q31" s="103">
        <v>3.5</v>
      </c>
      <c r="R31" s="103"/>
    </row>
    <row r="32" spans="1:31" ht="30" x14ac:dyDescent="0.3">
      <c r="C32" s="6" t="s">
        <v>88</v>
      </c>
      <c r="D32" s="6" t="s">
        <v>89</v>
      </c>
      <c r="E32" s="6"/>
      <c r="H32" s="99">
        <v>8</v>
      </c>
      <c r="I32" s="93" t="s">
        <v>80</v>
      </c>
      <c r="J32" s="103">
        <v>5</v>
      </c>
      <c r="K32" s="103">
        <v>5</v>
      </c>
      <c r="L32" s="103">
        <v>5</v>
      </c>
      <c r="M32" s="103">
        <v>5</v>
      </c>
      <c r="N32" s="103">
        <v>5</v>
      </c>
      <c r="O32" s="103">
        <v>5</v>
      </c>
      <c r="P32" s="103">
        <v>5</v>
      </c>
      <c r="Q32" s="103">
        <v>5</v>
      </c>
      <c r="R32" s="103"/>
    </row>
    <row r="33" spans="1:19" ht="45" x14ac:dyDescent="0.3">
      <c r="B33" s="7" t="s">
        <v>11</v>
      </c>
      <c r="C33" s="44">
        <f>C4</f>
        <v>28823880</v>
      </c>
      <c r="D33" s="44">
        <f>C4</f>
        <v>28823880</v>
      </c>
      <c r="E33" s="16"/>
      <c r="H33" s="99">
        <v>9</v>
      </c>
      <c r="I33" s="93" t="s">
        <v>81</v>
      </c>
      <c r="J33" s="103">
        <v>10</v>
      </c>
      <c r="K33" s="103">
        <v>10</v>
      </c>
      <c r="L33" s="103">
        <v>10</v>
      </c>
      <c r="M33" s="103">
        <v>10</v>
      </c>
      <c r="N33" s="103">
        <v>10</v>
      </c>
      <c r="O33" s="103">
        <v>10</v>
      </c>
      <c r="P33" s="103">
        <v>10</v>
      </c>
      <c r="Q33" s="103">
        <v>10</v>
      </c>
      <c r="R33" s="103"/>
    </row>
    <row r="34" spans="1:19" ht="30" x14ac:dyDescent="0.3">
      <c r="B34" s="7" t="s">
        <v>12</v>
      </c>
      <c r="C34" s="44">
        <f>N20</f>
        <v>297460150</v>
      </c>
      <c r="D34" s="44">
        <f>Q20</f>
        <v>184649209</v>
      </c>
      <c r="E34" s="16"/>
      <c r="H34" s="99">
        <v>10</v>
      </c>
      <c r="I34" s="93" t="s">
        <v>82</v>
      </c>
      <c r="J34" s="103">
        <v>1.5</v>
      </c>
      <c r="K34" s="103">
        <v>1.5</v>
      </c>
      <c r="L34" s="103">
        <v>1.5</v>
      </c>
      <c r="M34" s="103">
        <v>1.5</v>
      </c>
      <c r="N34" s="103">
        <v>1.5</v>
      </c>
      <c r="O34" s="103">
        <v>1.5</v>
      </c>
      <c r="P34" s="103">
        <v>1.5</v>
      </c>
      <c r="Q34" s="103">
        <v>1.5</v>
      </c>
      <c r="R34" s="103"/>
    </row>
    <row r="35" spans="1:19" ht="30" x14ac:dyDescent="0.3">
      <c r="B35" s="7" t="s">
        <v>17</v>
      </c>
      <c r="C35" s="44">
        <v>10000000</v>
      </c>
      <c r="D35" s="44">
        <f>C35</f>
        <v>10000000</v>
      </c>
      <c r="E35" s="16"/>
      <c r="H35" s="99">
        <v>11</v>
      </c>
      <c r="I35" s="93" t="s">
        <v>83</v>
      </c>
      <c r="J35" s="103">
        <v>1.5</v>
      </c>
      <c r="K35" s="103">
        <v>1.5</v>
      </c>
      <c r="L35" s="103">
        <v>1.5</v>
      </c>
      <c r="M35" s="103">
        <v>1.5</v>
      </c>
      <c r="N35" s="103">
        <v>1.5</v>
      </c>
      <c r="O35" s="103">
        <v>1.5</v>
      </c>
      <c r="P35" s="103">
        <v>1.5</v>
      </c>
      <c r="Q35" s="103">
        <v>1.5</v>
      </c>
      <c r="R35" s="103"/>
    </row>
    <row r="36" spans="1:19" ht="60" x14ac:dyDescent="0.3">
      <c r="A36" s="1"/>
      <c r="B36" s="7" t="s">
        <v>10</v>
      </c>
      <c r="C36" s="44">
        <v>12000000</v>
      </c>
      <c r="D36" s="44">
        <v>12000000</v>
      </c>
      <c r="E36" s="16"/>
      <c r="H36" s="99">
        <v>12</v>
      </c>
      <c r="I36" s="93" t="s">
        <v>84</v>
      </c>
      <c r="J36" s="103">
        <v>5</v>
      </c>
      <c r="K36" s="103">
        <v>5</v>
      </c>
      <c r="L36" s="103">
        <v>5</v>
      </c>
      <c r="M36" s="103">
        <v>5</v>
      </c>
      <c r="N36" s="103">
        <v>5</v>
      </c>
      <c r="O36" s="103">
        <v>5</v>
      </c>
      <c r="P36" s="103">
        <v>5</v>
      </c>
      <c r="Q36" s="103">
        <v>5</v>
      </c>
      <c r="R36" s="103"/>
    </row>
    <row r="37" spans="1:19" x14ac:dyDescent="0.3">
      <c r="A37" s="1"/>
      <c r="B37" s="106" t="s">
        <v>42</v>
      </c>
      <c r="C37" s="45">
        <f>C33+C34+C35+C36</f>
        <v>348284030</v>
      </c>
      <c r="D37" s="45">
        <f>SUM(D33:D36)</f>
        <v>235473089</v>
      </c>
      <c r="F37" s="15"/>
      <c r="H37" s="99">
        <v>13</v>
      </c>
      <c r="I37" s="93" t="s">
        <v>85</v>
      </c>
      <c r="J37" s="103">
        <v>2</v>
      </c>
      <c r="K37" s="103">
        <v>2</v>
      </c>
      <c r="L37" s="103">
        <v>2</v>
      </c>
      <c r="M37" s="103">
        <v>2</v>
      </c>
      <c r="N37" s="103">
        <v>2</v>
      </c>
      <c r="O37" s="103">
        <v>2</v>
      </c>
      <c r="P37" s="103">
        <v>2</v>
      </c>
      <c r="Q37" s="103">
        <v>2</v>
      </c>
      <c r="R37" s="103"/>
    </row>
    <row r="38" spans="1:19" ht="60" x14ac:dyDescent="0.3">
      <c r="A38" s="1"/>
      <c r="B38" s="106" t="s">
        <v>7</v>
      </c>
      <c r="C38" s="45">
        <f>MROUND(C37*90%,1)</f>
        <v>313455627</v>
      </c>
      <c r="D38" s="45">
        <f>MROUND(D37*90%,1)</f>
        <v>211925780</v>
      </c>
      <c r="F38" s="15"/>
      <c r="H38" s="99">
        <v>14</v>
      </c>
      <c r="I38" s="93" t="s">
        <v>86</v>
      </c>
      <c r="J38" s="103">
        <v>2</v>
      </c>
      <c r="K38" s="103">
        <v>2</v>
      </c>
      <c r="L38" s="103">
        <v>2</v>
      </c>
      <c r="M38" s="103">
        <v>2</v>
      </c>
      <c r="N38" s="103">
        <v>2</v>
      </c>
      <c r="O38" s="103">
        <v>2</v>
      </c>
      <c r="P38" s="103">
        <v>2</v>
      </c>
      <c r="Q38" s="103">
        <v>2</v>
      </c>
      <c r="R38" s="103"/>
    </row>
    <row r="39" spans="1:19" ht="60" x14ac:dyDescent="0.3">
      <c r="A39" s="1"/>
      <c r="B39" s="106" t="s">
        <v>8</v>
      </c>
      <c r="C39" s="45">
        <f>MROUND(C37*80%,1)</f>
        <v>278627224</v>
      </c>
      <c r="D39" s="45">
        <f>MROUND(D37*80%,1)</f>
        <v>188378471</v>
      </c>
      <c r="F39" s="15"/>
      <c r="H39" s="99">
        <v>15</v>
      </c>
      <c r="I39" s="93" t="s">
        <v>87</v>
      </c>
      <c r="J39" s="103">
        <v>2</v>
      </c>
      <c r="K39" s="103">
        <v>2</v>
      </c>
      <c r="L39" s="103">
        <v>2</v>
      </c>
      <c r="M39" s="103">
        <v>2</v>
      </c>
      <c r="N39" s="103">
        <v>2</v>
      </c>
      <c r="O39" s="103">
        <v>2</v>
      </c>
      <c r="P39" s="103">
        <v>2</v>
      </c>
      <c r="Q39" s="103">
        <v>2</v>
      </c>
      <c r="R39" s="103"/>
    </row>
    <row r="40" spans="1:19" s="8" customFormat="1" x14ac:dyDescent="0.25">
      <c r="B40" s="107" t="s">
        <v>37</v>
      </c>
      <c r="C40" s="118">
        <f>MROUND(C34*0.85,1)</f>
        <v>252841128</v>
      </c>
      <c r="D40" s="118">
        <f>MROUND(D34*0.85,1)</f>
        <v>156951828</v>
      </c>
      <c r="F40" s="9"/>
      <c r="G40" s="9"/>
      <c r="H40" s="99"/>
      <c r="I40" s="93"/>
      <c r="J40" s="103">
        <f>SUM(J25:J39)</f>
        <v>100</v>
      </c>
      <c r="K40" s="108">
        <f>SUM(K25:K39)</f>
        <v>100</v>
      </c>
      <c r="L40" s="108">
        <f t="shared" ref="L40:Q40" si="41">SUM(L25:L39)</f>
        <v>100</v>
      </c>
      <c r="M40" s="108">
        <f t="shared" si="41"/>
        <v>100</v>
      </c>
      <c r="N40" s="108">
        <f t="shared" si="41"/>
        <v>100</v>
      </c>
      <c r="O40" s="108">
        <f t="shared" si="41"/>
        <v>100</v>
      </c>
      <c r="P40" s="108">
        <f t="shared" si="41"/>
        <v>100</v>
      </c>
      <c r="Q40" s="108">
        <f t="shared" si="41"/>
        <v>100</v>
      </c>
      <c r="R40" s="104"/>
    </row>
    <row r="41" spans="1:19" x14ac:dyDescent="0.3">
      <c r="A41" s="1"/>
      <c r="L41" s="31"/>
      <c r="O41" s="30"/>
    </row>
    <row r="42" spans="1:19" x14ac:dyDescent="0.3">
      <c r="A42" s="1"/>
      <c r="L42" s="31"/>
      <c r="O42" s="30"/>
    </row>
    <row r="43" spans="1:19" x14ac:dyDescent="0.3">
      <c r="A43" s="1"/>
      <c r="H43" s="29"/>
      <c r="I43" s="29"/>
      <c r="L43" s="31"/>
      <c r="O43" s="30"/>
    </row>
    <row r="44" spans="1:19" ht="17.25" thickBot="1" x14ac:dyDescent="0.35">
      <c r="A44" s="1"/>
      <c r="L44" s="31"/>
      <c r="O44" s="30"/>
      <c r="S44" s="1">
        <v>4464</v>
      </c>
    </row>
    <row r="45" spans="1:19" ht="17.25" thickBot="1" x14ac:dyDescent="0.35">
      <c r="A45" s="1"/>
      <c r="I45" s="135" t="s">
        <v>21</v>
      </c>
      <c r="J45" s="138" t="s">
        <v>43</v>
      </c>
      <c r="K45" s="139"/>
      <c r="L45" s="139"/>
      <c r="M45" s="140"/>
      <c r="O45" s="30"/>
    </row>
    <row r="46" spans="1:19" x14ac:dyDescent="0.3">
      <c r="A46" s="1"/>
      <c r="I46" s="136"/>
      <c r="J46" s="66" t="s">
        <v>44</v>
      </c>
      <c r="K46" s="66" t="s">
        <v>46</v>
      </c>
      <c r="L46" s="66" t="s">
        <v>47</v>
      </c>
      <c r="M46" s="66" t="s">
        <v>48</v>
      </c>
      <c r="O46" s="30"/>
    </row>
    <row r="47" spans="1:19" ht="49.5" x14ac:dyDescent="0.3">
      <c r="A47" s="1"/>
      <c r="I47" s="136"/>
      <c r="J47" s="66" t="s">
        <v>45</v>
      </c>
      <c r="K47" s="66" t="s">
        <v>45</v>
      </c>
      <c r="L47" s="66" t="s">
        <v>45</v>
      </c>
      <c r="M47" s="66" t="s">
        <v>49</v>
      </c>
      <c r="O47" s="30"/>
    </row>
    <row r="48" spans="1:19" ht="17.25" thickBot="1" x14ac:dyDescent="0.35">
      <c r="A48" s="1"/>
      <c r="I48" s="137"/>
      <c r="J48" s="67"/>
      <c r="K48" s="67"/>
      <c r="L48" s="67"/>
      <c r="M48" s="68" t="s">
        <v>50</v>
      </c>
    </row>
    <row r="49" spans="1:30" ht="17.25" thickBot="1" x14ac:dyDescent="0.35">
      <c r="A49" s="1"/>
      <c r="I49" s="69" t="s">
        <v>51</v>
      </c>
      <c r="J49" s="71">
        <v>4515</v>
      </c>
      <c r="K49" s="71">
        <v>3724.55</v>
      </c>
      <c r="L49" s="71">
        <v>1070.9000000000001</v>
      </c>
      <c r="M49" s="71">
        <v>9410.4500000000007</v>
      </c>
    </row>
    <row r="50" spans="1:30" ht="17.25" thickBot="1" x14ac:dyDescent="0.35">
      <c r="A50" s="1"/>
      <c r="B50" s="1"/>
      <c r="I50" s="69" t="s">
        <v>52</v>
      </c>
      <c r="J50" s="71">
        <v>480</v>
      </c>
      <c r="K50" s="71">
        <v>480</v>
      </c>
      <c r="L50" s="71">
        <v>480</v>
      </c>
      <c r="M50" s="71">
        <v>1440</v>
      </c>
      <c r="P50" s="9"/>
      <c r="Q50" s="9"/>
      <c r="R50" s="9"/>
      <c r="S50" s="9"/>
      <c r="T50" s="8"/>
      <c r="U50" s="13"/>
      <c r="V50" s="14"/>
      <c r="W50" s="9"/>
      <c r="X50" s="24">
        <v>13.43</v>
      </c>
      <c r="Y50" s="24">
        <v>62</v>
      </c>
      <c r="Z50" s="1">
        <f>X50*Y50</f>
        <v>832.66</v>
      </c>
    </row>
    <row r="51" spans="1:30" ht="17.25" thickBot="1" x14ac:dyDescent="0.35">
      <c r="A51" s="1"/>
      <c r="B51" s="1"/>
      <c r="I51" s="69" t="s">
        <v>53</v>
      </c>
      <c r="J51" s="71">
        <v>114</v>
      </c>
      <c r="K51" s="72" t="s">
        <v>54</v>
      </c>
      <c r="L51" s="71" t="s">
        <v>54</v>
      </c>
      <c r="M51" s="71">
        <v>114</v>
      </c>
      <c r="P51" s="9"/>
      <c r="Q51" s="9"/>
      <c r="R51" s="9"/>
      <c r="S51" s="9"/>
      <c r="T51" s="8"/>
      <c r="U51" s="13"/>
      <c r="V51" s="14"/>
      <c r="W51" s="9"/>
      <c r="X51" s="24"/>
      <c r="Y51" s="24"/>
    </row>
    <row r="52" spans="1:30" ht="33.75" thickBot="1" x14ac:dyDescent="0.35">
      <c r="A52" s="1"/>
      <c r="B52" s="1"/>
      <c r="I52" s="69" t="s">
        <v>55</v>
      </c>
      <c r="J52" s="71">
        <v>6</v>
      </c>
      <c r="K52" s="72" t="s">
        <v>54</v>
      </c>
      <c r="L52" s="71" t="s">
        <v>54</v>
      </c>
      <c r="M52" s="71">
        <v>6</v>
      </c>
      <c r="P52" s="84" t="s">
        <v>68</v>
      </c>
      <c r="Q52" s="9"/>
      <c r="R52" s="9"/>
      <c r="S52" s="9"/>
      <c r="T52" s="8"/>
      <c r="U52" s="9"/>
      <c r="V52" s="8"/>
      <c r="W52" s="9"/>
      <c r="X52" s="9"/>
      <c r="Y52" s="9"/>
    </row>
    <row r="53" spans="1:30" ht="33.75" thickBot="1" x14ac:dyDescent="0.35">
      <c r="A53" s="1"/>
      <c r="B53" s="1"/>
      <c r="I53" s="69" t="s">
        <v>56</v>
      </c>
      <c r="J53" s="71">
        <v>9</v>
      </c>
      <c r="K53" s="72" t="s">
        <v>54</v>
      </c>
      <c r="L53" s="71" t="s">
        <v>54</v>
      </c>
      <c r="M53" s="71">
        <v>9</v>
      </c>
      <c r="P53" s="82">
        <v>7777680</v>
      </c>
      <c r="Q53" s="26"/>
      <c r="R53" s="11"/>
      <c r="S53" s="11"/>
      <c r="U53" s="5"/>
      <c r="V53" s="18"/>
      <c r="W53" s="5"/>
      <c r="X53" s="5"/>
      <c r="Y53" s="5"/>
    </row>
    <row r="54" spans="1:30" ht="17.25" thickBot="1" x14ac:dyDescent="0.35">
      <c r="A54" s="1"/>
      <c r="B54" s="1"/>
      <c r="I54" s="69" t="s">
        <v>57</v>
      </c>
      <c r="J54" s="71">
        <v>16</v>
      </c>
      <c r="K54" s="72" t="s">
        <v>54</v>
      </c>
      <c r="L54" s="71" t="s">
        <v>54</v>
      </c>
      <c r="M54" s="71">
        <v>16</v>
      </c>
      <c r="P54" s="82">
        <v>16040000</v>
      </c>
      <c r="Q54" s="13"/>
      <c r="R54" s="11"/>
      <c r="S54" s="11"/>
      <c r="U54" s="5"/>
      <c r="V54" s="18"/>
      <c r="W54" s="5"/>
      <c r="X54" s="5"/>
      <c r="Y54" s="5"/>
    </row>
    <row r="55" spans="1:30" ht="17.25" thickBot="1" x14ac:dyDescent="0.35">
      <c r="A55" s="1"/>
      <c r="B55" s="1"/>
      <c r="I55" s="69" t="s">
        <v>58</v>
      </c>
      <c r="J55" s="71">
        <v>36</v>
      </c>
      <c r="K55" s="72" t="s">
        <v>54</v>
      </c>
      <c r="L55" s="71" t="s">
        <v>54</v>
      </c>
      <c r="M55" s="71">
        <v>36</v>
      </c>
      <c r="P55" s="82">
        <f>SUM(P53:P54)</f>
        <v>23817680</v>
      </c>
      <c r="Q55" s="5"/>
      <c r="R55" s="11"/>
      <c r="S55" s="74" t="s">
        <v>60</v>
      </c>
      <c r="T55" s="75">
        <v>105915</v>
      </c>
      <c r="U55" s="5"/>
      <c r="V55" s="78">
        <f>T55+T56</f>
        <v>211685</v>
      </c>
      <c r="W55" s="79">
        <f>V55/2</f>
        <v>105842.5</v>
      </c>
      <c r="X55" s="5">
        <f>36*62</f>
        <v>2232</v>
      </c>
      <c r="Y55" s="5">
        <f>X55</f>
        <v>2232</v>
      </c>
      <c r="Z55" s="80">
        <f>T55/1000</f>
        <v>105.91500000000001</v>
      </c>
      <c r="AB55" s="80">
        <f>Z55+Z56</f>
        <v>211.685</v>
      </c>
      <c r="AC55" s="80">
        <f>AB55/2</f>
        <v>105.8425</v>
      </c>
    </row>
    <row r="56" spans="1:30" ht="17.25" thickBot="1" x14ac:dyDescent="0.35">
      <c r="A56" s="1"/>
      <c r="B56" s="1">
        <v>500</v>
      </c>
      <c r="C56" s="1">
        <f>2670*10%</f>
        <v>267</v>
      </c>
      <c r="D56" s="1">
        <f>B56*C56</f>
        <v>133500</v>
      </c>
      <c r="I56" s="70" t="s">
        <v>48</v>
      </c>
      <c r="J56" s="73">
        <f>SUM(J49:J55)</f>
        <v>5176</v>
      </c>
      <c r="K56" s="73">
        <f t="shared" ref="K56:M56" si="42">SUM(K49:K55)</f>
        <v>4204.55</v>
      </c>
      <c r="L56" s="73">
        <f t="shared" si="42"/>
        <v>1550.9</v>
      </c>
      <c r="M56" s="73">
        <f t="shared" si="42"/>
        <v>11031.45</v>
      </c>
      <c r="P56" s="18"/>
      <c r="Q56" s="5"/>
      <c r="R56" s="11"/>
      <c r="S56" s="76" t="s">
        <v>61</v>
      </c>
      <c r="T56" s="77">
        <v>105770</v>
      </c>
      <c r="U56" s="5"/>
      <c r="V56" s="18"/>
      <c r="W56" s="5"/>
      <c r="X56" s="5"/>
      <c r="Y56" s="5"/>
      <c r="Z56" s="80">
        <f t="shared" ref="Z56:Z58" si="43">T56/1000</f>
        <v>105.77</v>
      </c>
    </row>
    <row r="57" spans="1:30" ht="17.25" thickBot="1" x14ac:dyDescent="0.35">
      <c r="A57" s="1"/>
      <c r="B57" s="1">
        <v>4500</v>
      </c>
      <c r="C57" s="1">
        <f>2670*20%</f>
        <v>534</v>
      </c>
      <c r="D57" s="1">
        <f t="shared" ref="D57:D58" si="44">B57*C57</f>
        <v>2403000</v>
      </c>
      <c r="P57" s="18"/>
      <c r="Q57" s="5"/>
      <c r="R57" s="11"/>
      <c r="S57" s="76" t="s">
        <v>62</v>
      </c>
      <c r="T57" s="77">
        <v>151445</v>
      </c>
      <c r="U57" s="5"/>
      <c r="V57" s="78">
        <f>T57+T58</f>
        <v>303130</v>
      </c>
      <c r="W57" s="79">
        <f>V57/2</f>
        <v>151565</v>
      </c>
      <c r="X57" s="5">
        <f>W55*W57</f>
        <v>16042018512.5</v>
      </c>
      <c r="Y57" s="5">
        <f>X57/1000000</f>
        <v>16042.018512500001</v>
      </c>
      <c r="Z57" s="80">
        <f t="shared" si="43"/>
        <v>151.44499999999999</v>
      </c>
      <c r="AB57" s="80">
        <f>Z57+Z58</f>
        <v>303.13</v>
      </c>
      <c r="AC57" s="80">
        <f>AB57/2</f>
        <v>151.565</v>
      </c>
      <c r="AD57" s="1">
        <f>AC55*AC57</f>
        <v>16042.018512500001</v>
      </c>
    </row>
    <row r="58" spans="1:30" ht="17.25" thickBot="1" x14ac:dyDescent="0.35">
      <c r="A58" s="1"/>
      <c r="B58" s="1">
        <v>11040</v>
      </c>
      <c r="C58" s="1">
        <f>2670*35%</f>
        <v>934.49999999999989</v>
      </c>
      <c r="D58" s="1">
        <f t="shared" si="44"/>
        <v>10316879.999999998</v>
      </c>
      <c r="P58" s="16"/>
      <c r="Q58" s="16"/>
      <c r="R58" s="17"/>
      <c r="S58" s="76" t="s">
        <v>63</v>
      </c>
      <c r="T58" s="77">
        <v>151685</v>
      </c>
      <c r="U58" s="5"/>
      <c r="V58" s="15"/>
      <c r="W58" s="5"/>
      <c r="X58" s="5"/>
      <c r="Y58" s="5"/>
      <c r="Z58" s="80">
        <f t="shared" si="43"/>
        <v>151.685</v>
      </c>
    </row>
    <row r="59" spans="1:30" x14ac:dyDescent="0.3">
      <c r="A59" s="1"/>
      <c r="B59" s="1">
        <v>16040</v>
      </c>
      <c r="D59" s="1">
        <f>SUM(D56:D58)</f>
        <v>12853379.999999998</v>
      </c>
      <c r="E59" s="1">
        <f>D59/B59</f>
        <v>801.33291770573555</v>
      </c>
      <c r="F59" s="32"/>
      <c r="G59" s="32"/>
      <c r="H59" s="32"/>
      <c r="I59" s="32"/>
      <c r="J59" s="10"/>
      <c r="P59" s="16"/>
      <c r="Q59" s="16"/>
      <c r="R59" s="17"/>
      <c r="S59" s="17"/>
      <c r="U59" s="5"/>
      <c r="V59" s="17"/>
      <c r="W59" s="5"/>
      <c r="X59" s="5"/>
      <c r="Y59" s="5"/>
    </row>
    <row r="60" spans="1:30" x14ac:dyDescent="0.3">
      <c r="A60" s="1"/>
      <c r="B60" s="1">
        <v>16040</v>
      </c>
      <c r="C60" s="1">
        <v>400</v>
      </c>
      <c r="D60" s="1">
        <f>B60*C60</f>
        <v>6416000</v>
      </c>
      <c r="E60" s="1">
        <v>400</v>
      </c>
      <c r="F60" s="30"/>
      <c r="G60" s="1"/>
      <c r="H60" s="30"/>
      <c r="I60" s="30"/>
      <c r="N60" s="5">
        <v>4515</v>
      </c>
      <c r="P60" s="16"/>
      <c r="Q60" s="16"/>
      <c r="R60" s="17"/>
      <c r="S60" s="17"/>
      <c r="U60" s="5"/>
      <c r="V60" s="17"/>
      <c r="W60" s="5"/>
      <c r="X60" s="5"/>
      <c r="Y60" s="5"/>
    </row>
    <row r="61" spans="1:30" x14ac:dyDescent="0.3">
      <c r="A61" s="1"/>
      <c r="B61" s="1"/>
      <c r="D61" s="1">
        <f>D59+D60</f>
        <v>19269380</v>
      </c>
      <c r="F61" s="30"/>
      <c r="G61" s="30"/>
      <c r="H61" s="33"/>
      <c r="I61" s="33"/>
      <c r="P61" s="16"/>
      <c r="Q61" s="16"/>
      <c r="R61" s="17"/>
      <c r="S61" s="17"/>
      <c r="U61" s="5"/>
      <c r="V61" s="17"/>
      <c r="W61" s="5"/>
      <c r="X61" s="5"/>
      <c r="Y61" s="5"/>
    </row>
    <row r="62" spans="1:30" x14ac:dyDescent="0.3">
      <c r="A62" s="1"/>
      <c r="B62" s="1"/>
      <c r="H62" s="30"/>
      <c r="I62" s="30"/>
      <c r="N62" s="5">
        <v>2232</v>
      </c>
      <c r="O62" s="5" t="s">
        <v>94</v>
      </c>
    </row>
    <row r="63" spans="1:30" ht="17.25" thickBot="1" x14ac:dyDescent="0.35">
      <c r="A63" s="1"/>
      <c r="B63" s="1"/>
      <c r="H63" s="30"/>
      <c r="I63" s="30"/>
      <c r="N63" s="5">
        <v>833</v>
      </c>
      <c r="O63" s="5" t="s">
        <v>93</v>
      </c>
    </row>
    <row r="64" spans="1:30" ht="17.25" thickBot="1" x14ac:dyDescent="0.35">
      <c r="A64" s="1"/>
      <c r="B64" s="1"/>
      <c r="G64" s="122">
        <v>44963640</v>
      </c>
      <c r="H64" s="119">
        <v>8992728</v>
      </c>
      <c r="I64" s="30"/>
      <c r="N64" s="5">
        <f>SUM(N62:N63)</f>
        <v>3065</v>
      </c>
    </row>
    <row r="65" spans="1:12" ht="17.25" thickBot="1" x14ac:dyDescent="0.35">
      <c r="A65" s="1"/>
      <c r="B65" s="1"/>
      <c r="G65" s="123">
        <v>59676210</v>
      </c>
      <c r="H65" s="119">
        <v>5967621</v>
      </c>
      <c r="I65" s="30"/>
    </row>
    <row r="66" spans="1:12" ht="17.25" thickBot="1" x14ac:dyDescent="0.35">
      <c r="A66" s="1"/>
      <c r="B66" s="1"/>
      <c r="G66" s="123">
        <v>28914300</v>
      </c>
      <c r="H66" s="119">
        <v>5782860</v>
      </c>
      <c r="I66" s="30"/>
    </row>
    <row r="67" spans="1:12" x14ac:dyDescent="0.3">
      <c r="A67" s="1"/>
      <c r="B67" s="1"/>
      <c r="G67" s="37">
        <f>SUM(G64:G66)</f>
        <v>133554150</v>
      </c>
      <c r="H67" s="124">
        <f>SUM(H64:H66)</f>
        <v>20743209</v>
      </c>
      <c r="I67" s="30"/>
    </row>
    <row r="68" spans="1:12" x14ac:dyDescent="0.3">
      <c r="A68" s="1"/>
      <c r="B68" s="1"/>
      <c r="H68" s="30"/>
      <c r="I68" s="30"/>
    </row>
    <row r="69" spans="1:12" x14ac:dyDescent="0.3">
      <c r="A69" s="1"/>
      <c r="B69" s="1"/>
      <c r="H69" s="30"/>
      <c r="I69" s="30"/>
    </row>
    <row r="70" spans="1:12" x14ac:dyDescent="0.3">
      <c r="A70" s="1"/>
      <c r="B70" s="1"/>
    </row>
    <row r="71" spans="1:12" x14ac:dyDescent="0.3">
      <c r="A71" s="1"/>
      <c r="B71" s="1"/>
    </row>
    <row r="72" spans="1:12" ht="17.25" thickBot="1" x14ac:dyDescent="0.35">
      <c r="A72" s="1"/>
      <c r="B72" s="1"/>
    </row>
    <row r="73" spans="1:12" ht="17.25" thickBot="1" x14ac:dyDescent="0.35">
      <c r="A73" s="1"/>
      <c r="B73" s="1"/>
      <c r="K73" s="125">
        <v>297460150</v>
      </c>
      <c r="L73" s="126">
        <v>297460150</v>
      </c>
    </row>
    <row r="74" spans="1:12" ht="17.25" thickBot="1" x14ac:dyDescent="0.35">
      <c r="A74" s="1"/>
      <c r="B74" s="1"/>
      <c r="K74" s="127">
        <v>133554150</v>
      </c>
      <c r="L74" s="128">
        <v>20743209</v>
      </c>
    </row>
    <row r="75" spans="1:12" x14ac:dyDescent="0.3">
      <c r="A75" s="1"/>
      <c r="B75" s="1"/>
      <c r="K75" s="37">
        <f>SUM(K73:K74)</f>
        <v>431014300</v>
      </c>
      <c r="L75" s="43">
        <f>SUM(L73:L74)</f>
        <v>318203359</v>
      </c>
    </row>
    <row r="76" spans="1:12" x14ac:dyDescent="0.3">
      <c r="A76" s="1"/>
      <c r="B76" s="1"/>
    </row>
    <row r="77" spans="1:12" x14ac:dyDescent="0.3">
      <c r="A77" s="1"/>
      <c r="B77" s="1"/>
    </row>
    <row r="78" spans="1:12" x14ac:dyDescent="0.3">
      <c r="A78" s="1"/>
      <c r="B78" s="1"/>
    </row>
    <row r="79" spans="1:12" x14ac:dyDescent="0.3">
      <c r="A79" s="1"/>
      <c r="B79" s="1"/>
    </row>
    <row r="80" spans="1:12" x14ac:dyDescent="0.3">
      <c r="A80" s="1"/>
      <c r="B80" s="1"/>
      <c r="F80" s="34"/>
    </row>
    <row r="81" spans="1:15" x14ac:dyDescent="0.3">
      <c r="A81" s="1"/>
      <c r="B81" s="1"/>
      <c r="F81" s="34"/>
    </row>
    <row r="82" spans="1:15" x14ac:dyDescent="0.3">
      <c r="A82" s="1"/>
      <c r="B82" s="1"/>
      <c r="F82" s="34"/>
    </row>
    <row r="83" spans="1:15" x14ac:dyDescent="0.3">
      <c r="A83" s="1"/>
      <c r="B83" s="1"/>
      <c r="F83" s="34"/>
    </row>
    <row r="84" spans="1:15" x14ac:dyDescent="0.3">
      <c r="A84" s="1"/>
      <c r="B84" s="1"/>
      <c r="F84" s="34"/>
    </row>
    <row r="85" spans="1:15" x14ac:dyDescent="0.3">
      <c r="A85" s="1"/>
      <c r="B85" s="1"/>
    </row>
    <row r="86" spans="1:15" x14ac:dyDescent="0.3">
      <c r="A86" s="1"/>
      <c r="B86" s="1"/>
    </row>
    <row r="87" spans="1:15" ht="17.25" thickBot="1" x14ac:dyDescent="0.35">
      <c r="A87" s="1"/>
      <c r="B87" s="1"/>
    </row>
    <row r="88" spans="1:15" ht="17.25" thickBot="1" x14ac:dyDescent="0.35">
      <c r="A88" s="1"/>
      <c r="B88" s="1"/>
      <c r="O88" s="129">
        <v>120528000</v>
      </c>
    </row>
    <row r="89" spans="1:15" ht="17.25" thickBot="1" x14ac:dyDescent="0.35">
      <c r="A89" s="1"/>
      <c r="B89" s="1"/>
      <c r="O89" s="130">
        <v>38880000</v>
      </c>
    </row>
    <row r="90" spans="1:15" ht="17.25" thickBot="1" x14ac:dyDescent="0.35">
      <c r="A90" s="1"/>
      <c r="B90" s="1"/>
      <c r="O90" s="130">
        <v>3078000</v>
      </c>
    </row>
    <row r="91" spans="1:15" ht="17.25" thickBot="1" x14ac:dyDescent="0.35">
      <c r="A91" s="1"/>
      <c r="B91" s="1"/>
      <c r="O91" s="130">
        <v>102000</v>
      </c>
    </row>
    <row r="92" spans="1:15" ht="17.25" thickBot="1" x14ac:dyDescent="0.35">
      <c r="A92" s="1"/>
      <c r="B92" s="1"/>
      <c r="O92" s="130">
        <v>198000</v>
      </c>
    </row>
    <row r="93" spans="1:15" ht="17.25" thickBot="1" x14ac:dyDescent="0.35">
      <c r="A93" s="1"/>
      <c r="B93" s="1"/>
      <c r="O93" s="130">
        <v>400000</v>
      </c>
    </row>
    <row r="94" spans="1:15" ht="17.25" thickBot="1" x14ac:dyDescent="0.35">
      <c r="A94" s="1"/>
      <c r="B94" s="1"/>
      <c r="O94" s="130">
        <v>720000</v>
      </c>
    </row>
    <row r="95" spans="1:15" x14ac:dyDescent="0.3">
      <c r="A95" s="1"/>
      <c r="B95" s="1"/>
      <c r="O95" s="37">
        <f>SUM(O88:O94)</f>
        <v>163906000</v>
      </c>
    </row>
    <row r="96" spans="1:15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  <row r="165" spans="1:2" x14ac:dyDescent="0.3">
      <c r="A165" s="1"/>
      <c r="B165" s="1"/>
    </row>
    <row r="166" spans="1:2" x14ac:dyDescent="0.3">
      <c r="A166" s="1"/>
      <c r="B166" s="1"/>
    </row>
    <row r="167" spans="1:2" x14ac:dyDescent="0.3">
      <c r="A167" s="1"/>
      <c r="B167" s="1"/>
    </row>
    <row r="168" spans="1:2" x14ac:dyDescent="0.3">
      <c r="A168" s="1"/>
      <c r="B168" s="1"/>
    </row>
    <row r="169" spans="1:2" x14ac:dyDescent="0.3">
      <c r="A169" s="1"/>
      <c r="B169" s="1"/>
    </row>
    <row r="170" spans="1:2" x14ac:dyDescent="0.3">
      <c r="A170" s="1"/>
      <c r="B170" s="1"/>
    </row>
    <row r="171" spans="1:2" x14ac:dyDescent="0.3">
      <c r="A171" s="1"/>
      <c r="B171" s="1"/>
    </row>
    <row r="172" spans="1:2" x14ac:dyDescent="0.3">
      <c r="A172" s="1"/>
      <c r="B172" s="1"/>
    </row>
    <row r="173" spans="1:2" x14ac:dyDescent="0.3">
      <c r="A173" s="1"/>
      <c r="B173" s="1"/>
    </row>
    <row r="174" spans="1:2" x14ac:dyDescent="0.3">
      <c r="A174" s="1"/>
      <c r="B174" s="1"/>
    </row>
    <row r="175" spans="1:2" x14ac:dyDescent="0.3">
      <c r="A175" s="1"/>
      <c r="B175" s="1"/>
    </row>
  </sheetData>
  <mergeCells count="4">
    <mergeCell ref="B22:C22"/>
    <mergeCell ref="B27:C27"/>
    <mergeCell ref="I45:I48"/>
    <mergeCell ref="J45:M4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970BC-2021-4420-A10A-924FDE9FB362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FC294-D4CD-4D7E-AC3A-C812736102DE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FEC4F-9243-4B69-B983-439AF8465DFC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A3156-8D7F-4A32-B2F3-0BD0A2675DEE}">
  <dimension ref="C2:R19"/>
  <sheetViews>
    <sheetView workbookViewId="0">
      <selection activeCell="M8" sqref="M8"/>
    </sheetView>
  </sheetViews>
  <sheetFormatPr defaultRowHeight="15" x14ac:dyDescent="0.25"/>
  <cols>
    <col min="3" max="3" width="12.5703125" bestFit="1" customWidth="1"/>
    <col min="7" max="7" width="12.5703125" bestFit="1" customWidth="1"/>
    <col min="11" max="11" width="12.28515625" customWidth="1"/>
    <col min="13" max="13" width="39.28515625" bestFit="1" customWidth="1"/>
  </cols>
  <sheetData>
    <row r="2" spans="3:18" x14ac:dyDescent="0.25">
      <c r="C2" s="82">
        <v>1370661</v>
      </c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3:18" x14ac:dyDescent="0.25">
      <c r="C3" s="82">
        <v>934542</v>
      </c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3:18" x14ac:dyDescent="0.25">
      <c r="C4" s="82">
        <f>SUM(C2:C3)</f>
        <v>2305203</v>
      </c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3:18" x14ac:dyDescent="0.25">
      <c r="C5" s="82"/>
      <c r="D5" s="82"/>
      <c r="E5" s="82"/>
      <c r="F5" s="82"/>
      <c r="G5" s="82"/>
      <c r="H5" s="82"/>
      <c r="I5" s="82"/>
      <c r="J5" s="82"/>
      <c r="K5" s="82"/>
      <c r="L5" s="82"/>
      <c r="M5" s="82" t="s">
        <v>65</v>
      </c>
      <c r="N5">
        <v>1000</v>
      </c>
      <c r="O5" t="s">
        <v>66</v>
      </c>
      <c r="R5" t="s">
        <v>67</v>
      </c>
    </row>
    <row r="6" spans="3:18" x14ac:dyDescent="0.25"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</row>
    <row r="7" spans="3:18" x14ac:dyDescent="0.25"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</row>
    <row r="8" spans="3:18" x14ac:dyDescent="0.25">
      <c r="C8" s="82"/>
      <c r="D8" s="82"/>
      <c r="E8" s="82"/>
      <c r="F8" s="82"/>
      <c r="G8" s="82"/>
      <c r="H8" s="82"/>
      <c r="I8" s="82"/>
      <c r="J8" s="82"/>
      <c r="K8" s="82"/>
      <c r="L8" s="82"/>
      <c r="M8" s="82">
        <f>1594/2</f>
        <v>797</v>
      </c>
      <c r="N8">
        <v>1000</v>
      </c>
      <c r="O8" s="83">
        <f>M8+N8</f>
        <v>1797</v>
      </c>
    </row>
    <row r="9" spans="3:18" x14ac:dyDescent="0.25"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</row>
    <row r="10" spans="3:18" x14ac:dyDescent="0.25">
      <c r="K10" s="81"/>
    </row>
    <row r="12" spans="3:18" x14ac:dyDescent="0.25">
      <c r="G12" s="82">
        <v>1246055</v>
      </c>
    </row>
    <row r="13" spans="3:18" x14ac:dyDescent="0.25">
      <c r="G13" s="82">
        <v>124606</v>
      </c>
    </row>
    <row r="14" spans="3:18" x14ac:dyDescent="0.25">
      <c r="G14" s="82">
        <f>SUM(G12:G13)</f>
        <v>1370661</v>
      </c>
    </row>
    <row r="15" spans="3:18" x14ac:dyDescent="0.25">
      <c r="M15" s="82"/>
    </row>
    <row r="16" spans="3:18" x14ac:dyDescent="0.25">
      <c r="M16" s="82">
        <v>7777680</v>
      </c>
    </row>
    <row r="17" spans="3:13" x14ac:dyDescent="0.25">
      <c r="C17">
        <v>7777680</v>
      </c>
      <c r="M17" s="82">
        <v>16040000</v>
      </c>
    </row>
    <row r="18" spans="3:13" x14ac:dyDescent="0.25">
      <c r="C18">
        <v>1370661</v>
      </c>
      <c r="D18" t="s">
        <v>64</v>
      </c>
      <c r="M18" s="82">
        <f>SUM(M16:M17)</f>
        <v>23817680</v>
      </c>
    </row>
    <row r="19" spans="3:13" x14ac:dyDescent="0.25">
      <c r="C19">
        <f>SUM(C17:C18)</f>
        <v>9148341</v>
      </c>
      <c r="M19" s="82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59076-C5B9-4029-A88E-AA9F1D92B473}">
  <dimension ref="B3:E20"/>
  <sheetViews>
    <sheetView workbookViewId="0">
      <selection activeCell="J18" sqref="J18"/>
    </sheetView>
  </sheetViews>
  <sheetFormatPr defaultRowHeight="15" x14ac:dyDescent="0.25"/>
  <cols>
    <col min="2" max="2" width="7.5703125" customWidth="1"/>
    <col min="3" max="3" width="20" customWidth="1"/>
    <col min="4" max="4" width="13.7109375" customWidth="1"/>
  </cols>
  <sheetData>
    <row r="3" spans="2:5" ht="15.75" thickBot="1" x14ac:dyDescent="0.3">
      <c r="B3" t="s">
        <v>90</v>
      </c>
    </row>
    <row r="4" spans="2:5" ht="17.25" thickBot="1" x14ac:dyDescent="0.3">
      <c r="B4" s="114">
        <v>1</v>
      </c>
      <c r="C4" s="112" t="s">
        <v>51</v>
      </c>
      <c r="D4" s="87">
        <v>9410.4500000000007</v>
      </c>
    </row>
    <row r="5" spans="2:5" ht="17.25" thickBot="1" x14ac:dyDescent="0.3">
      <c r="B5" s="115">
        <v>2</v>
      </c>
      <c r="C5" s="113" t="s">
        <v>52</v>
      </c>
      <c r="D5" s="89">
        <v>1440</v>
      </c>
    </row>
    <row r="6" spans="2:5" ht="17.25" thickBot="1" x14ac:dyDescent="0.3">
      <c r="B6" s="115">
        <v>3</v>
      </c>
      <c r="C6" s="113" t="s">
        <v>53</v>
      </c>
      <c r="D6" s="89">
        <v>114</v>
      </c>
    </row>
    <row r="7" spans="2:5" ht="17.25" thickBot="1" x14ac:dyDescent="0.3">
      <c r="B7" s="115">
        <v>4</v>
      </c>
      <c r="C7" s="113" t="s">
        <v>55</v>
      </c>
      <c r="D7" s="89">
        <v>6</v>
      </c>
    </row>
    <row r="8" spans="2:5" ht="33.75" thickBot="1" x14ac:dyDescent="0.3">
      <c r="B8" s="115">
        <v>5</v>
      </c>
      <c r="C8" s="113" t="s">
        <v>56</v>
      </c>
      <c r="D8" s="89">
        <v>9</v>
      </c>
    </row>
    <row r="9" spans="2:5" ht="17.25" thickBot="1" x14ac:dyDescent="0.3">
      <c r="B9" s="116">
        <v>6</v>
      </c>
      <c r="C9" s="113" t="s">
        <v>57</v>
      </c>
      <c r="D9" s="89">
        <v>16</v>
      </c>
    </row>
    <row r="10" spans="2:5" ht="17.25" thickBot="1" x14ac:dyDescent="0.3">
      <c r="B10" s="117">
        <v>7</v>
      </c>
      <c r="C10" s="113" t="s">
        <v>58</v>
      </c>
      <c r="D10" s="89">
        <v>36</v>
      </c>
    </row>
    <row r="13" spans="2:5" ht="15.75" thickBot="1" x14ac:dyDescent="0.3">
      <c r="B13" t="s">
        <v>91</v>
      </c>
    </row>
    <row r="14" spans="2:5" ht="17.25" thickBot="1" x14ac:dyDescent="0.3">
      <c r="B14" s="114">
        <v>1</v>
      </c>
      <c r="C14" s="86" t="s">
        <v>51</v>
      </c>
      <c r="D14" s="87">
        <v>4464</v>
      </c>
      <c r="E14" t="s">
        <v>92</v>
      </c>
    </row>
    <row r="15" spans="2:5" ht="17.25" thickBot="1" x14ac:dyDescent="0.3">
      <c r="B15" s="115">
        <v>2</v>
      </c>
      <c r="C15" s="88" t="s">
        <v>52</v>
      </c>
      <c r="D15" s="89">
        <v>1440</v>
      </c>
    </row>
    <row r="16" spans="2:5" ht="17.25" thickBot="1" x14ac:dyDescent="0.3">
      <c r="B16" s="115">
        <v>3</v>
      </c>
      <c r="C16" s="88" t="s">
        <v>53</v>
      </c>
      <c r="D16" s="89">
        <v>114</v>
      </c>
    </row>
    <row r="17" spans="2:4" ht="17.25" thickBot="1" x14ac:dyDescent="0.3">
      <c r="B17" s="115">
        <v>4</v>
      </c>
      <c r="C17" s="88" t="s">
        <v>55</v>
      </c>
      <c r="D17" s="89">
        <v>6</v>
      </c>
    </row>
    <row r="18" spans="2:4" ht="33.75" thickBot="1" x14ac:dyDescent="0.3">
      <c r="B18" s="115">
        <v>5</v>
      </c>
      <c r="C18" s="88" t="s">
        <v>56</v>
      </c>
      <c r="D18" s="89">
        <v>9</v>
      </c>
    </row>
    <row r="19" spans="2:4" ht="17.25" thickBot="1" x14ac:dyDescent="0.3">
      <c r="B19" s="116">
        <v>6</v>
      </c>
      <c r="C19" s="88" t="s">
        <v>57</v>
      </c>
      <c r="D19" s="89">
        <v>16</v>
      </c>
    </row>
    <row r="20" spans="2:4" ht="17.25" thickBot="1" x14ac:dyDescent="0.3">
      <c r="B20" s="117">
        <v>7</v>
      </c>
      <c r="C20" s="88" t="s">
        <v>58</v>
      </c>
      <c r="D20" s="89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Valuation</vt:lpstr>
      <vt:lpstr>Sheet1</vt:lpstr>
      <vt:lpstr>Sheet2</vt:lpstr>
      <vt:lpstr>Sheet3</vt:lpstr>
      <vt:lpstr>Sheet4</vt:lpstr>
      <vt:lpstr>Sheet5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akhilesh Yadav</cp:lastModifiedBy>
  <dcterms:created xsi:type="dcterms:W3CDTF">2014-10-16T12:20:47Z</dcterms:created>
  <dcterms:modified xsi:type="dcterms:W3CDTF">2024-11-07T06:25:10Z</dcterms:modified>
</cp:coreProperties>
</file>