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E Vijaya Dombivali East\Chandrashekhar Prabhakar Dixit\"/>
    </mc:Choice>
  </mc:AlternateContent>
  <xr:revisionPtr revIDLastSave="0" documentId="13_ncr:1_{C9FE2654-5DE8-4350-A7CD-82C1A93E2C8C}" xr6:coauthVersionLast="36" xr6:coauthVersionMax="47" xr10:uidLastSave="{00000000-0000-0000-0000-000000000000}"/>
  <bookViews>
    <workbookView xWindow="0" yWindow="0" windowWidth="28800" windowHeight="12105" firstSheet="3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" i="20" l="1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3" i="20"/>
  <c r="E27" i="20"/>
  <c r="R24" i="20" l="1"/>
  <c r="R23" i="20"/>
  <c r="R21" i="20"/>
  <c r="R20" i="20"/>
  <c r="R19" i="20"/>
  <c r="R18" i="20"/>
  <c r="R17" i="20"/>
  <c r="R16" i="20"/>
  <c r="R15" i="20"/>
  <c r="R14" i="20"/>
  <c r="R13" i="20"/>
  <c r="R12" i="20"/>
  <c r="R11" i="20"/>
  <c r="R10" i="20"/>
  <c r="R9" i="20"/>
  <c r="R8" i="20"/>
  <c r="R7" i="20"/>
  <c r="R6" i="20"/>
  <c r="R5" i="20"/>
  <c r="R25" i="20" s="1"/>
  <c r="I28" i="20" l="1"/>
  <c r="I27" i="20"/>
  <c r="E3" i="20"/>
  <c r="E4" i="20"/>
  <c r="L22" i="20"/>
  <c r="L21" i="20"/>
  <c r="L16" i="20"/>
  <c r="L5" i="20"/>
  <c r="L6" i="20"/>
  <c r="L7" i="20"/>
  <c r="L8" i="20"/>
  <c r="L9" i="20"/>
  <c r="L10" i="20"/>
  <c r="L11" i="20"/>
  <c r="L12" i="20"/>
  <c r="L13" i="20"/>
  <c r="L14" i="20"/>
  <c r="L15" i="20"/>
  <c r="L17" i="20"/>
  <c r="L18" i="20"/>
  <c r="L19" i="20"/>
  <c r="L20" i="20"/>
  <c r="L4" i="20"/>
  <c r="E12" i="20" l="1"/>
  <c r="E17" i="20"/>
  <c r="E16" i="20"/>
  <c r="E15" i="20"/>
  <c r="E14" i="20"/>
  <c r="E13" i="20"/>
  <c r="E20" i="20"/>
  <c r="E19" i="20"/>
  <c r="E18" i="20"/>
  <c r="E11" i="20"/>
  <c r="E10" i="20"/>
  <c r="E9" i="20"/>
  <c r="E8" i="20"/>
  <c r="E7" i="20"/>
  <c r="E6" i="20"/>
  <c r="E5" i="20"/>
  <c r="E21" i="20" l="1"/>
  <c r="E22" i="20" s="1"/>
  <c r="E23" i="20" s="1"/>
  <c r="P7" i="4"/>
  <c r="G22" i="4"/>
  <c r="E18" i="4" l="1"/>
  <c r="Q3" i="4" l="1"/>
  <c r="P3" i="4"/>
  <c r="Q42" i="4"/>
  <c r="Q41" i="4"/>
  <c r="O43" i="4" l="1"/>
  <c r="O41" i="4"/>
  <c r="O39" i="4"/>
  <c r="O38" i="4"/>
  <c r="O37" i="4"/>
  <c r="O36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G21" i="4" l="1"/>
  <c r="G23" i="4" s="1"/>
  <c r="H19" i="4"/>
  <c r="Q12" i="4" l="1"/>
  <c r="P12" i="4"/>
  <c r="P11" i="4"/>
  <c r="Q11" i="4" s="1"/>
  <c r="Q10" i="4"/>
  <c r="P10" i="4"/>
  <c r="Q9" i="4"/>
  <c r="P8" i="4"/>
  <c r="Q6" i="4"/>
  <c r="P5" i="4"/>
  <c r="P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<sst xmlns="http://schemas.openxmlformats.org/spreadsheetml/2006/main" count="125" uniqueCount="98">
  <si>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</si>
  <si>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</si>
  <si>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</si>
  <si>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</si>
  <si>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</si>
  <si>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</si>
  <si>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</si>
  <si>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</si>
  <si>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</si>
  <si>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</si>
  <si>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</si>
  <si>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</si>
  <si>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</si>
  <si>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102A/102B, 1st floor, rachana topaz chsl, bapu datar road, ne. joshi high school, dombivli east</t>
  </si>
  <si>
    <t>ca</t>
  </si>
  <si>
    <t>bua</t>
  </si>
  <si>
    <t>rate on cs</t>
  </si>
  <si>
    <t>fmv</t>
  </si>
  <si>
    <t>agreement - 23.12.2015</t>
  </si>
  <si>
    <t>av</t>
  </si>
  <si>
    <t>mca</t>
  </si>
  <si>
    <t>oc  - 2015</t>
  </si>
  <si>
    <t>interior</t>
  </si>
  <si>
    <t>Draft - 1.15 cr</t>
  </si>
  <si>
    <t>Bed 2</t>
  </si>
  <si>
    <t>2.82 x 2.90</t>
  </si>
  <si>
    <t xml:space="preserve">Bed 1 </t>
  </si>
  <si>
    <t>2.82 x 1.77</t>
  </si>
  <si>
    <t>WC + Bath 1</t>
  </si>
  <si>
    <t>1.80 x 0.90</t>
  </si>
  <si>
    <t>WC + Bath 2</t>
  </si>
  <si>
    <t>Living</t>
  </si>
  <si>
    <t>4.35 x 2.70</t>
  </si>
  <si>
    <t>4.86 x 2.9</t>
  </si>
  <si>
    <t>Kitchen Cum Dinning</t>
  </si>
  <si>
    <t>1.20 x 1.88</t>
  </si>
  <si>
    <t>Bed 3</t>
  </si>
  <si>
    <t>3.25 x 2.9</t>
  </si>
  <si>
    <t xml:space="preserve">WC </t>
  </si>
  <si>
    <t>0.90 x 1.22</t>
  </si>
  <si>
    <t>Bath</t>
  </si>
  <si>
    <t>1.22 x 1.52</t>
  </si>
  <si>
    <t>Balc 1</t>
  </si>
  <si>
    <t>Balc 2</t>
  </si>
  <si>
    <t xml:space="preserve">Balc 3 </t>
  </si>
  <si>
    <t>0.90 x 2.82</t>
  </si>
  <si>
    <t>1.23 x 1.82</t>
  </si>
  <si>
    <t>Pass 1</t>
  </si>
  <si>
    <t>Pass 2</t>
  </si>
  <si>
    <t>Pass 3</t>
  </si>
  <si>
    <t>1.05 x 1.3</t>
  </si>
  <si>
    <t>Balc 4</t>
  </si>
  <si>
    <t>1.20 x 0.87</t>
  </si>
  <si>
    <t>Balc 6</t>
  </si>
  <si>
    <t>0.8 x4.86</t>
  </si>
  <si>
    <t xml:space="preserve">0.8 x 1.77 </t>
  </si>
  <si>
    <t>0.9 x 4.35</t>
  </si>
  <si>
    <t>0.90 x 3.25</t>
  </si>
  <si>
    <t>Plan area</t>
  </si>
  <si>
    <t>measured area</t>
  </si>
  <si>
    <t>Terrace</t>
  </si>
  <si>
    <t>balc</t>
  </si>
  <si>
    <t>living</t>
  </si>
  <si>
    <t>bed 1</t>
  </si>
  <si>
    <t>cb</t>
  </si>
  <si>
    <t>wc/bath</t>
  </si>
  <si>
    <t>bed2</t>
  </si>
  <si>
    <t>passage</t>
  </si>
  <si>
    <t>kitchen</t>
  </si>
  <si>
    <t>dinning</t>
  </si>
  <si>
    <t>bed 3</t>
  </si>
  <si>
    <t>in Sq. M.</t>
  </si>
  <si>
    <t>In sq. ft.</t>
  </si>
  <si>
    <t>Agreemetn - Carpet area</t>
  </si>
  <si>
    <t>TOTAL</t>
  </si>
  <si>
    <t>Total</t>
  </si>
  <si>
    <t>9.25 x 12.5</t>
  </si>
  <si>
    <t>9.25 x 9.80</t>
  </si>
  <si>
    <t>6 x 3</t>
  </si>
  <si>
    <t>4 x 6.2</t>
  </si>
  <si>
    <t>16.0 x 12.3</t>
  </si>
  <si>
    <t>14.25 x 12.8</t>
  </si>
  <si>
    <t>10.65 x 12.5</t>
  </si>
  <si>
    <t>0.9 x 1.22</t>
  </si>
  <si>
    <t>1.22 x 1.92</t>
  </si>
  <si>
    <t>2 x 10.65</t>
  </si>
  <si>
    <t>2 x 8</t>
  </si>
  <si>
    <t>2 x 9.25</t>
  </si>
  <si>
    <t>2 x 6</t>
  </si>
  <si>
    <t>Balc 5</t>
  </si>
  <si>
    <t xml:space="preserve">2 x 14.3 </t>
  </si>
  <si>
    <t>3.7 x 4.5</t>
  </si>
  <si>
    <t>3.3 x 3</t>
  </si>
  <si>
    <t>Pass 4</t>
  </si>
  <si>
    <t>4.15 x 5</t>
  </si>
  <si>
    <t>Pass 5</t>
  </si>
  <si>
    <t>3.5 x 8.5</t>
  </si>
  <si>
    <t>Agreement - Floor Plan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</si>
</sst>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2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/>
    <xf numFmtId="0" fontId="0" fillId="0" borderId="1" xfId="0" applyBorder="1"/>
    <xf numFmtId="0" fontId="2" fillId="0" borderId="4" xfId="0" applyFont="1" applyBorder="1" applyAlignment="1">
      <alignment vertical="center"/>
    </xf>
    <xf numFmtId="0" fontId="0" fillId="0" borderId="5" xfId="0" applyBorder="1" applyAlignment="1">
      <alignment vertical="center"/>
    </xf>
    <xf numFmtId="2" fontId="0" fillId="0" borderId="6" xfId="0" applyNumberForma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7" xfId="0" applyFont="1" applyBorder="1"/>
    <xf numFmtId="0" fontId="0" fillId="0" borderId="8" xfId="0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C27FA-061A-4C2B-80FF-B619203F6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7E439-21FB-41D9-B4B4-8DB15688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0DC97-BF04-40E0-88D1-BA4606FA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3BAFA-C4FE-48E1-9F8B-A60CF8D7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11484-050C-414F-8EA2-581FCB08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786D8-8B0E-4DBF-AA30-C2A5B289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7573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18CBF-CAFA-4394-843B-B79ED221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9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opLeftCell="E19" zoomScaleNormal="100" workbookViewId="0">
      <selection activeCell="P34" sqref="P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786</v>
      </c>
      <c r="C2" s="4">
        <f>B2*1.2</f>
        <v>943.19999999999993</v>
      </c>
      <c r="D2" s="4">
        <f t="shared" ref="D2:D13" si="2">C2*1.2</f>
        <v>1131.8399999999999</v>
      </c>
      <c r="E2" s="5">
        <f t="shared" ref="E2:E13" si="3">R2</f>
        <v>9300000</v>
      </c>
      <c r="F2" s="14">
        <f t="shared" ref="F2:F13" si="4">ROUND((E2/B2),0)</f>
        <v>11832</v>
      </c>
      <c r="G2" s="9">
        <f t="shared" ref="G2:G13" si="5">ROUND((E2/C2),0)</f>
        <v>9860</v>
      </c>
      <c r="H2" s="9">
        <f t="shared" ref="H2:H13" si="6">ROUND((E2/D2),0)</f>
        <v>8217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786</v>
      </c>
      <c r="R2" s="2">
        <v>9300000</v>
      </c>
      <c r="S2" s="7"/>
      <c r="T2" s="7"/>
    </row>
    <row r="3" spans="1:20" x14ac:dyDescent="0.25">
      <c r="A3" s="4">
        <f t="shared" si="0"/>
        <v>0</v>
      </c>
      <c r="B3" s="4">
        <f t="shared" si="1"/>
        <v>972.22222222222229</v>
      </c>
      <c r="C3" s="4">
        <f t="shared" ref="C3:C15" si="9">B3*1.2</f>
        <v>1166.6666666666667</v>
      </c>
      <c r="D3" s="4">
        <f t="shared" si="2"/>
        <v>1400</v>
      </c>
      <c r="E3" s="5">
        <f t="shared" si="3"/>
        <v>12500000</v>
      </c>
      <c r="F3" s="9">
        <f t="shared" si="4"/>
        <v>12857</v>
      </c>
      <c r="G3" s="9">
        <f t="shared" si="5"/>
        <v>10714</v>
      </c>
      <c r="H3" s="9">
        <f t="shared" si="6"/>
        <v>8929</v>
      </c>
      <c r="I3" s="4" t="e">
        <f>#REF!</f>
        <v>#REF!</v>
      </c>
      <c r="J3" s="4">
        <f t="shared" si="7"/>
        <v>0</v>
      </c>
      <c r="O3">
        <v>1400</v>
      </c>
      <c r="P3">
        <f>O3/1.2</f>
        <v>1166.6666666666667</v>
      </c>
      <c r="Q3">
        <f>P3/1.2</f>
        <v>972.22222222222229</v>
      </c>
      <c r="R3" s="2">
        <v>12500000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6000000</v>
      </c>
      <c r="F4" s="9">
        <f t="shared" si="4"/>
        <v>12000</v>
      </c>
      <c r="G4" s="9">
        <f t="shared" si="5"/>
        <v>10000</v>
      </c>
      <c r="H4" s="9">
        <f t="shared" si="6"/>
        <v>8333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500</v>
      </c>
      <c r="R4" s="2">
        <v>6000000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520</v>
      </c>
      <c r="C5" s="4">
        <f t="shared" si="9"/>
        <v>624</v>
      </c>
      <c r="D5" s="4">
        <f t="shared" si="2"/>
        <v>748.8</v>
      </c>
      <c r="E5" s="5">
        <f t="shared" si="3"/>
        <v>6500000</v>
      </c>
      <c r="F5" s="14">
        <f t="shared" si="4"/>
        <v>12500</v>
      </c>
      <c r="G5" s="9">
        <f t="shared" si="5"/>
        <v>10417</v>
      </c>
      <c r="H5" s="9">
        <f t="shared" si="6"/>
        <v>8681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520</v>
      </c>
      <c r="R5" s="2">
        <v>6500000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541.66666666666674</v>
      </c>
      <c r="C6" s="4">
        <f t="shared" si="9"/>
        <v>650.00000000000011</v>
      </c>
      <c r="D6" s="4">
        <f t="shared" si="2"/>
        <v>780.00000000000011</v>
      </c>
      <c r="E6" s="5">
        <f t="shared" si="3"/>
        <v>6700000</v>
      </c>
      <c r="F6" s="9">
        <f t="shared" si="4"/>
        <v>12369</v>
      </c>
      <c r="G6" s="9">
        <f t="shared" si="5"/>
        <v>10308</v>
      </c>
      <c r="H6" s="9">
        <f t="shared" si="6"/>
        <v>8590</v>
      </c>
      <c r="I6" s="4" t="e">
        <f>#REF!</f>
        <v>#REF!</v>
      </c>
      <c r="J6" s="4">
        <f t="shared" si="7"/>
        <v>0</v>
      </c>
      <c r="O6">
        <v>0</v>
      </c>
      <c r="P6">
        <v>650</v>
      </c>
      <c r="Q6">
        <f t="shared" ref="Q6:Q12" si="10">P6/1.2</f>
        <v>541.66666666666674</v>
      </c>
      <c r="R6" s="2">
        <v>6700000</v>
      </c>
      <c r="S6" s="7"/>
      <c r="T6" s="7"/>
    </row>
    <row r="7" spans="1:20" x14ac:dyDescent="0.25">
      <c r="A7" s="4">
        <f t="shared" si="0"/>
        <v>0</v>
      </c>
      <c r="B7" s="4">
        <f t="shared" si="1"/>
        <v>796</v>
      </c>
      <c r="C7" s="4">
        <f t="shared" si="9"/>
        <v>955.19999999999993</v>
      </c>
      <c r="D7" s="4">
        <f t="shared" si="2"/>
        <v>1146.2399999999998</v>
      </c>
      <c r="E7" s="5">
        <f t="shared" si="3"/>
        <v>7900000</v>
      </c>
      <c r="F7" s="9">
        <f t="shared" si="4"/>
        <v>9925</v>
      </c>
      <c r="G7" s="9">
        <f t="shared" si="5"/>
        <v>8271</v>
      </c>
      <c r="H7" s="9">
        <f t="shared" si="6"/>
        <v>6892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796</v>
      </c>
      <c r="R7" s="2">
        <v>7900000</v>
      </c>
      <c r="S7" s="7"/>
      <c r="T7" s="7"/>
    </row>
    <row r="8" spans="1:20" x14ac:dyDescent="0.25">
      <c r="A8" s="4">
        <f t="shared" si="0"/>
        <v>0</v>
      </c>
      <c r="B8" s="4">
        <f t="shared" si="1"/>
        <v>750</v>
      </c>
      <c r="C8" s="4">
        <f t="shared" si="9"/>
        <v>900</v>
      </c>
      <c r="D8" s="4">
        <f t="shared" si="2"/>
        <v>1080</v>
      </c>
      <c r="E8" s="5">
        <f t="shared" si="3"/>
        <v>10000000</v>
      </c>
      <c r="F8" s="14">
        <f t="shared" si="4"/>
        <v>13333</v>
      </c>
      <c r="G8" s="9">
        <f t="shared" si="5"/>
        <v>11111</v>
      </c>
      <c r="H8" s="9">
        <f t="shared" si="6"/>
        <v>9259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750</v>
      </c>
      <c r="R8" s="2">
        <v>10000000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445.83333333333337</v>
      </c>
      <c r="C9" s="4">
        <f t="shared" si="9"/>
        <v>535</v>
      </c>
      <c r="D9" s="4">
        <f t="shared" si="2"/>
        <v>642</v>
      </c>
      <c r="E9" s="5">
        <f t="shared" si="3"/>
        <v>4990000</v>
      </c>
      <c r="F9" s="14">
        <f t="shared" si="4"/>
        <v>11193</v>
      </c>
      <c r="G9" s="9">
        <f t="shared" si="5"/>
        <v>9327</v>
      </c>
      <c r="H9" s="9">
        <f t="shared" si="6"/>
        <v>7773</v>
      </c>
      <c r="I9" s="4" t="e">
        <f>#REF!</f>
        <v>#REF!</v>
      </c>
      <c r="J9" s="4">
        <f t="shared" si="7"/>
        <v>0</v>
      </c>
      <c r="O9">
        <v>0</v>
      </c>
      <c r="P9">
        <v>535</v>
      </c>
      <c r="Q9">
        <f t="shared" si="10"/>
        <v>445.83333333333337</v>
      </c>
      <c r="R9" s="2">
        <v>4990000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9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7" spans="5:24" x14ac:dyDescent="0.25">
      <c r="F17" t="s">
        <v>13</v>
      </c>
    </row>
    <row r="18" spans="5:24" x14ac:dyDescent="0.25">
      <c r="E18">
        <f>G18*2000</f>
        <v>1966000</v>
      </c>
      <c r="F18" t="s">
        <v>14</v>
      </c>
      <c r="G18">
        <v>983</v>
      </c>
    </row>
    <row r="19" spans="5:24" x14ac:dyDescent="0.25">
      <c r="F19" t="s">
        <v>15</v>
      </c>
      <c r="G19">
        <v>1376</v>
      </c>
      <c r="H19">
        <f>G19/G18</f>
        <v>1.399796541200407</v>
      </c>
    </row>
    <row r="20" spans="5:24" x14ac:dyDescent="0.25">
      <c r="F20" t="s">
        <v>16</v>
      </c>
      <c r="G20">
        <v>11800</v>
      </c>
    </row>
    <row r="21" spans="5:24" x14ac:dyDescent="0.25">
      <c r="F21" t="s">
        <v>17</v>
      </c>
      <c r="G21">
        <f>G20*G18</f>
        <v>11599400</v>
      </c>
      <c r="J21" t="s">
        <v>20</v>
      </c>
    </row>
    <row r="22" spans="5:24" x14ac:dyDescent="0.25">
      <c r="F22" t="s">
        <v>22</v>
      </c>
      <c r="G22" s="6">
        <f>G18*2000</f>
        <v>1966000</v>
      </c>
      <c r="H22" s="6"/>
      <c r="J22">
        <v>14.15</v>
      </c>
      <c r="N22">
        <v>11.91</v>
      </c>
      <c r="O22">
        <f>N22*J22</f>
        <v>168.5265</v>
      </c>
    </row>
    <row r="23" spans="5:24" x14ac:dyDescent="0.25">
      <c r="G23">
        <f>G22+G21</f>
        <v>13565400</v>
      </c>
      <c r="J23">
        <v>9.17</v>
      </c>
      <c r="N23">
        <v>10.220000000000001</v>
      </c>
      <c r="O23">
        <f t="shared" ref="O23:O33" si="21">N23*J23</f>
        <v>93.717400000000012</v>
      </c>
    </row>
    <row r="24" spans="5:24" x14ac:dyDescent="0.25">
      <c r="J24">
        <v>4.95</v>
      </c>
      <c r="N24">
        <v>2.17</v>
      </c>
      <c r="O24">
        <f t="shared" si="21"/>
        <v>10.7415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J25">
        <v>5.64</v>
      </c>
      <c r="N25">
        <v>2.84</v>
      </c>
      <c r="O25">
        <f t="shared" si="21"/>
        <v>16.017599999999998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G26" t="s">
        <v>21</v>
      </c>
      <c r="J26">
        <v>3.27</v>
      </c>
      <c r="N26">
        <v>2.87</v>
      </c>
      <c r="O26">
        <f t="shared" si="21"/>
        <v>9.3849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G27" t="s">
        <v>18</v>
      </c>
      <c r="J27">
        <v>9.24</v>
      </c>
      <c r="N27">
        <v>12.28</v>
      </c>
      <c r="O27">
        <f t="shared" si="21"/>
        <v>113.46719999999999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G28" t="s">
        <v>19</v>
      </c>
      <c r="H28">
        <v>17528000</v>
      </c>
      <c r="J28">
        <v>3.72</v>
      </c>
      <c r="N28">
        <v>5.71</v>
      </c>
      <c r="O28">
        <f t="shared" si="21"/>
        <v>21.241200000000003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J29">
        <v>2.96</v>
      </c>
      <c r="N29">
        <v>4.41</v>
      </c>
      <c r="O29">
        <f t="shared" si="21"/>
        <v>13.053599999999999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G30" t="s">
        <v>23</v>
      </c>
      <c r="J30">
        <v>13.78</v>
      </c>
      <c r="N30">
        <v>7.46</v>
      </c>
      <c r="O30">
        <f t="shared" si="21"/>
        <v>102.7988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J31">
        <v>11.14</v>
      </c>
      <c r="N31">
        <v>9.36</v>
      </c>
      <c r="O31">
        <f t="shared" si="21"/>
        <v>104.2704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J32">
        <v>5.72</v>
      </c>
      <c r="N32">
        <v>3.84</v>
      </c>
      <c r="O32">
        <f t="shared" si="21"/>
        <v>21.964799999999997</v>
      </c>
      <c r="P32" s="10"/>
      <c r="Q32" s="10"/>
      <c r="R32" s="10"/>
      <c r="S32" s="6"/>
      <c r="T32" s="10"/>
      <c r="U32" s="10"/>
      <c r="V32" s="10"/>
      <c r="W32" s="10"/>
      <c r="X32" s="10"/>
    </row>
    <row r="33" spans="10:24" x14ac:dyDescent="0.25">
      <c r="J33">
        <v>10.99</v>
      </c>
      <c r="N33">
        <v>13.89</v>
      </c>
      <c r="O33">
        <f t="shared" si="21"/>
        <v>152.65110000000001</v>
      </c>
      <c r="P33" s="10"/>
      <c r="Q33" s="10"/>
      <c r="R33" s="10"/>
      <c r="S33" s="6"/>
      <c r="T33" s="10"/>
      <c r="U33" s="10"/>
      <c r="V33" s="10"/>
      <c r="W33" s="10"/>
      <c r="X33" s="10"/>
    </row>
    <row r="34" spans="10:24" x14ac:dyDescent="0.25">
      <c r="O34">
        <f>SUM(O22:O33)</f>
        <v>827.83500000000004</v>
      </c>
      <c r="Q34" s="10"/>
      <c r="R34" s="10"/>
    </row>
    <row r="35" spans="10:24" x14ac:dyDescent="0.25">
      <c r="Q35" s="10"/>
      <c r="R35" s="10"/>
      <c r="T35" s="6"/>
    </row>
    <row r="36" spans="10:24" x14ac:dyDescent="0.25">
      <c r="J36">
        <v>9.4700000000000006</v>
      </c>
      <c r="N36">
        <v>5.16</v>
      </c>
      <c r="O36">
        <f>N36*J36</f>
        <v>48.865200000000002</v>
      </c>
      <c r="P36" s="10"/>
      <c r="Q36" s="10"/>
      <c r="R36" s="10"/>
      <c r="S36" s="6"/>
    </row>
    <row r="37" spans="10:24" x14ac:dyDescent="0.25">
      <c r="J37">
        <v>6.65</v>
      </c>
      <c r="N37">
        <v>4.5599999999999996</v>
      </c>
      <c r="O37">
        <f t="shared" ref="O37:O38" si="22">N37*J37</f>
        <v>30.323999999999998</v>
      </c>
    </row>
    <row r="38" spans="10:24" x14ac:dyDescent="0.25">
      <c r="J38">
        <v>2.09</v>
      </c>
      <c r="N38">
        <v>9.25</v>
      </c>
      <c r="O38">
        <f t="shared" si="22"/>
        <v>19.3325</v>
      </c>
    </row>
    <row r="39" spans="10:24" x14ac:dyDescent="0.25">
      <c r="O39">
        <f>SUM(O36:O38)</f>
        <v>98.521699999999996</v>
      </c>
    </row>
    <row r="41" spans="10:24" x14ac:dyDescent="0.25">
      <c r="O41">
        <f>O39+O34</f>
        <v>926.35670000000005</v>
      </c>
      <c r="P41">
        <v>12000</v>
      </c>
      <c r="Q41">
        <f>P41*O41</f>
        <v>11116280.4</v>
      </c>
    </row>
    <row r="42" spans="10:24" x14ac:dyDescent="0.25">
      <c r="Q42">
        <f>Q41/983</f>
        <v>11308.52533062055</v>
      </c>
    </row>
    <row r="43" spans="10:24" x14ac:dyDescent="0.25">
      <c r="O43">
        <f>G18/O41</f>
        <v>1.0611463165322816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8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T28"/>
  <sheetViews>
    <sheetView tabSelected="1" zoomScaleNormal="100" workbookViewId="0">
      <selection activeCell="K23" sqref="K23"/>
    </sheetView>
  </sheetViews>
  <sheetFormatPr defaultRowHeight="15" x14ac:dyDescent="0.25"/>
  <cols>
    <col min="3" max="3" width="11.28515625" bestFit="1" customWidth="1"/>
    <col min="4" max="4" width="20.140625" style="15" customWidth="1"/>
    <col min="5" max="5" width="9.140625" style="15"/>
  </cols>
  <sheetData>
    <row r="2" spans="3:20" ht="21" x14ac:dyDescent="0.35">
      <c r="D2" s="19" t="s">
        <v>58</v>
      </c>
      <c r="E2" s="19"/>
      <c r="F2" s="20"/>
      <c r="G2" s="20"/>
      <c r="H2" s="20"/>
      <c r="I2" s="20"/>
      <c r="J2" s="20"/>
      <c r="K2" s="20" t="s">
        <v>59</v>
      </c>
      <c r="L2" s="20"/>
      <c r="M2" s="20"/>
      <c r="P2" s="31" t="s">
        <v>97</v>
      </c>
      <c r="Q2" s="31"/>
      <c r="R2" s="31"/>
      <c r="S2" s="31"/>
      <c r="T2" s="31"/>
    </row>
    <row r="3" spans="3:20" ht="15.75" thickBot="1" x14ac:dyDescent="0.3">
      <c r="C3" s="15" t="s">
        <v>24</v>
      </c>
      <c r="D3" s="15" t="s">
        <v>25</v>
      </c>
      <c r="E3" s="17">
        <f>2.82*2.9</f>
        <v>8.177999999999999</v>
      </c>
      <c r="F3">
        <f>E3*10.764</f>
        <v>88.027991999999983</v>
      </c>
      <c r="J3" t="s">
        <v>20</v>
      </c>
    </row>
    <row r="4" spans="3:20" x14ac:dyDescent="0.25">
      <c r="C4" s="15" t="s">
        <v>26</v>
      </c>
      <c r="D4" s="15" t="s">
        <v>27</v>
      </c>
      <c r="E4" s="17">
        <f>2.82*1.77</f>
        <v>4.9913999999999996</v>
      </c>
      <c r="F4">
        <f t="shared" ref="F4:F22" si="0">E4*10.764</f>
        <v>53.727429599999994</v>
      </c>
      <c r="I4" t="s">
        <v>62</v>
      </c>
      <c r="J4">
        <v>14.15</v>
      </c>
      <c r="K4">
        <v>11.91</v>
      </c>
      <c r="L4">
        <f>K4*J4</f>
        <v>168.5265</v>
      </c>
      <c r="P4" s="21"/>
      <c r="Q4" s="29"/>
      <c r="R4" s="30"/>
    </row>
    <row r="5" spans="3:20" x14ac:dyDescent="0.25">
      <c r="C5" s="15" t="s">
        <v>28</v>
      </c>
      <c r="D5" s="15" t="s">
        <v>29</v>
      </c>
      <c r="E5" s="17">
        <f>1.8*0.9</f>
        <v>1.62</v>
      </c>
      <c r="F5">
        <f t="shared" si="0"/>
        <v>17.43768</v>
      </c>
      <c r="I5" t="s">
        <v>63</v>
      </c>
      <c r="J5">
        <v>9.17</v>
      </c>
      <c r="K5">
        <v>10.220000000000001</v>
      </c>
      <c r="L5">
        <f t="shared" ref="L5:L20" si="1">K5*J5</f>
        <v>93.717400000000012</v>
      </c>
      <c r="P5" s="22" t="s">
        <v>24</v>
      </c>
      <c r="Q5" s="23" t="s">
        <v>76</v>
      </c>
      <c r="R5" s="24">
        <f>9.25*12.5</f>
        <v>115.625</v>
      </c>
    </row>
    <row r="6" spans="3:20" x14ac:dyDescent="0.25">
      <c r="C6" s="15" t="s">
        <v>30</v>
      </c>
      <c r="D6" s="15" t="s">
        <v>35</v>
      </c>
      <c r="E6" s="17">
        <f>1.2*1.88</f>
        <v>2.2559999999999998</v>
      </c>
      <c r="F6">
        <f t="shared" si="0"/>
        <v>24.283583999999998</v>
      </c>
      <c r="I6" t="s">
        <v>64</v>
      </c>
      <c r="J6">
        <v>4.95</v>
      </c>
      <c r="K6">
        <v>2.17</v>
      </c>
      <c r="L6">
        <f t="shared" si="1"/>
        <v>10.7415</v>
      </c>
      <c r="P6" s="22" t="s">
        <v>26</v>
      </c>
      <c r="Q6" s="23" t="s">
        <v>77</v>
      </c>
      <c r="R6" s="24">
        <f>9.25*9.8</f>
        <v>90.65</v>
      </c>
    </row>
    <row r="7" spans="3:20" ht="45" x14ac:dyDescent="0.25">
      <c r="C7" s="16" t="s">
        <v>34</v>
      </c>
      <c r="D7" s="15" t="s">
        <v>33</v>
      </c>
      <c r="E7" s="17">
        <f>4.86*2.9</f>
        <v>14.094000000000001</v>
      </c>
      <c r="F7">
        <f t="shared" si="0"/>
        <v>151.70781600000001</v>
      </c>
      <c r="I7" t="s">
        <v>65</v>
      </c>
      <c r="J7">
        <v>5.64</v>
      </c>
      <c r="K7">
        <v>2.84</v>
      </c>
      <c r="L7">
        <f t="shared" si="1"/>
        <v>16.017599999999998</v>
      </c>
      <c r="P7" s="22" t="s">
        <v>28</v>
      </c>
      <c r="Q7" s="23" t="s">
        <v>78</v>
      </c>
      <c r="R7" s="24">
        <f>6*3</f>
        <v>18</v>
      </c>
    </row>
    <row r="8" spans="3:20" x14ac:dyDescent="0.25">
      <c r="C8" s="15" t="s">
        <v>31</v>
      </c>
      <c r="D8" s="15" t="s">
        <v>32</v>
      </c>
      <c r="E8" s="17">
        <f>4.35*2.7</f>
        <v>11.744999999999999</v>
      </c>
      <c r="F8">
        <f t="shared" si="0"/>
        <v>126.42317999999999</v>
      </c>
      <c r="I8" t="s">
        <v>66</v>
      </c>
      <c r="J8">
        <v>3.27</v>
      </c>
      <c r="K8">
        <v>2.87</v>
      </c>
      <c r="L8">
        <f t="shared" si="1"/>
        <v>9.3849</v>
      </c>
      <c r="P8" s="22" t="s">
        <v>30</v>
      </c>
      <c r="Q8" s="23" t="s">
        <v>79</v>
      </c>
      <c r="R8" s="24">
        <f>4*6.2</f>
        <v>24.8</v>
      </c>
    </row>
    <row r="9" spans="3:20" ht="45" x14ac:dyDescent="0.25">
      <c r="C9" s="15" t="s">
        <v>36</v>
      </c>
      <c r="D9" s="15" t="s">
        <v>37</v>
      </c>
      <c r="E9" s="17">
        <f>3.25*2.9</f>
        <v>9.4249999999999989</v>
      </c>
      <c r="F9">
        <f t="shared" si="0"/>
        <v>101.45069999999998</v>
      </c>
      <c r="I9" t="s">
        <v>65</v>
      </c>
      <c r="J9">
        <v>9.24</v>
      </c>
      <c r="K9">
        <v>12.28</v>
      </c>
      <c r="L9">
        <f t="shared" si="1"/>
        <v>113.46719999999999</v>
      </c>
      <c r="P9" s="25" t="s">
        <v>34</v>
      </c>
      <c r="Q9" s="23" t="s">
        <v>80</v>
      </c>
      <c r="R9" s="24">
        <f>16*12.3</f>
        <v>196.8</v>
      </c>
    </row>
    <row r="10" spans="3:20" x14ac:dyDescent="0.25">
      <c r="C10" s="15" t="s">
        <v>38</v>
      </c>
      <c r="D10" s="15" t="s">
        <v>39</v>
      </c>
      <c r="E10" s="17">
        <f>0.9*1.22</f>
        <v>1.0980000000000001</v>
      </c>
      <c r="F10">
        <f t="shared" si="0"/>
        <v>11.818872000000001</v>
      </c>
      <c r="I10" t="s">
        <v>67</v>
      </c>
      <c r="J10">
        <v>3.72</v>
      </c>
      <c r="K10">
        <v>5.71</v>
      </c>
      <c r="L10">
        <f t="shared" si="1"/>
        <v>21.241200000000003</v>
      </c>
      <c r="P10" s="22" t="s">
        <v>31</v>
      </c>
      <c r="Q10" s="23" t="s">
        <v>81</v>
      </c>
      <c r="R10" s="24">
        <f>14.25*12.8</f>
        <v>182.4</v>
      </c>
    </row>
    <row r="11" spans="3:20" x14ac:dyDescent="0.25">
      <c r="C11" s="15" t="s">
        <v>40</v>
      </c>
      <c r="D11" s="15" t="s">
        <v>41</v>
      </c>
      <c r="E11" s="17">
        <f>1.22*1.52</f>
        <v>1.8544</v>
      </c>
      <c r="F11">
        <f t="shared" si="0"/>
        <v>19.960761599999998</v>
      </c>
      <c r="I11" t="s">
        <v>68</v>
      </c>
      <c r="J11">
        <v>2.96</v>
      </c>
      <c r="K11">
        <v>4.41</v>
      </c>
      <c r="L11">
        <f t="shared" si="1"/>
        <v>13.053599999999999</v>
      </c>
      <c r="P11" s="22" t="s">
        <v>36</v>
      </c>
      <c r="Q11" s="23" t="s">
        <v>82</v>
      </c>
      <c r="R11" s="24">
        <f>10.65*12.5</f>
        <v>133.125</v>
      </c>
    </row>
    <row r="12" spans="3:20" x14ac:dyDescent="0.25">
      <c r="C12" s="15" t="s">
        <v>42</v>
      </c>
      <c r="D12" s="15" t="s">
        <v>57</v>
      </c>
      <c r="E12" s="15">
        <f>0.9*3.25</f>
        <v>2.9250000000000003</v>
      </c>
      <c r="F12">
        <f t="shared" si="0"/>
        <v>31.4847</v>
      </c>
      <c r="I12" t="s">
        <v>69</v>
      </c>
      <c r="J12">
        <v>13.78</v>
      </c>
      <c r="K12">
        <v>7.46</v>
      </c>
      <c r="L12">
        <f t="shared" si="1"/>
        <v>102.7988</v>
      </c>
      <c r="P12" s="22" t="s">
        <v>38</v>
      </c>
      <c r="Q12" s="23" t="s">
        <v>83</v>
      </c>
      <c r="R12" s="24">
        <f>1.1*10.764</f>
        <v>11.840400000000001</v>
      </c>
    </row>
    <row r="13" spans="3:20" x14ac:dyDescent="0.25">
      <c r="C13" s="15" t="s">
        <v>43</v>
      </c>
      <c r="D13" s="15" t="s">
        <v>54</v>
      </c>
      <c r="E13" s="17">
        <f>0.8*4.86</f>
        <v>3.8880000000000003</v>
      </c>
      <c r="F13">
        <f t="shared" si="0"/>
        <v>41.850431999999998</v>
      </c>
      <c r="I13" t="s">
        <v>65</v>
      </c>
      <c r="J13">
        <v>11.14</v>
      </c>
      <c r="K13">
        <v>9.36</v>
      </c>
      <c r="L13">
        <f t="shared" si="1"/>
        <v>104.2704</v>
      </c>
      <c r="P13" s="22" t="s">
        <v>40</v>
      </c>
      <c r="Q13" s="23" t="s">
        <v>84</v>
      </c>
      <c r="R13" s="24">
        <f>2.34*10.764</f>
        <v>25.187759999999997</v>
      </c>
    </row>
    <row r="14" spans="3:20" x14ac:dyDescent="0.25">
      <c r="C14" s="15" t="s">
        <v>44</v>
      </c>
      <c r="D14" s="15" t="s">
        <v>45</v>
      </c>
      <c r="E14" s="17">
        <f>0.9*2.82</f>
        <v>2.5379999999999998</v>
      </c>
      <c r="F14">
        <f t="shared" si="0"/>
        <v>27.319031999999996</v>
      </c>
      <c r="I14" t="s">
        <v>70</v>
      </c>
      <c r="J14">
        <v>5.72</v>
      </c>
      <c r="K14">
        <v>3.84</v>
      </c>
      <c r="L14">
        <f t="shared" si="1"/>
        <v>21.964799999999997</v>
      </c>
      <c r="P14" s="22" t="s">
        <v>42</v>
      </c>
      <c r="Q14" s="23" t="s">
        <v>85</v>
      </c>
      <c r="R14" s="24">
        <f>2*10.65</f>
        <v>21.3</v>
      </c>
    </row>
    <row r="15" spans="3:20" x14ac:dyDescent="0.25">
      <c r="C15" s="15" t="s">
        <v>51</v>
      </c>
      <c r="D15" s="15" t="s">
        <v>45</v>
      </c>
      <c r="E15" s="17">
        <f>0.9*2.82</f>
        <v>2.5379999999999998</v>
      </c>
      <c r="F15">
        <f t="shared" si="0"/>
        <v>27.319031999999996</v>
      </c>
      <c r="J15">
        <v>10.99</v>
      </c>
      <c r="K15">
        <v>13.89</v>
      </c>
      <c r="L15">
        <f t="shared" si="1"/>
        <v>152.65110000000001</v>
      </c>
      <c r="P15" s="22" t="s">
        <v>43</v>
      </c>
      <c r="Q15" s="23" t="s">
        <v>86</v>
      </c>
      <c r="R15" s="24">
        <f>2*8</f>
        <v>16</v>
      </c>
    </row>
    <row r="16" spans="3:20" x14ac:dyDescent="0.25">
      <c r="C16" s="15" t="s">
        <v>64</v>
      </c>
      <c r="D16" s="15" t="s">
        <v>55</v>
      </c>
      <c r="E16" s="17">
        <f>0.8*1.77</f>
        <v>1.4160000000000001</v>
      </c>
      <c r="F16">
        <f t="shared" si="0"/>
        <v>15.241824000000001</v>
      </c>
      <c r="K16" s="6" t="s">
        <v>75</v>
      </c>
      <c r="L16" s="6">
        <f>SUM(L4:L15)</f>
        <v>827.83500000000004</v>
      </c>
      <c r="P16" s="22" t="s">
        <v>44</v>
      </c>
      <c r="Q16" s="23" t="s">
        <v>87</v>
      </c>
      <c r="R16" s="24">
        <f>2*9.25</f>
        <v>18.5</v>
      </c>
    </row>
    <row r="17" spans="3:18" x14ac:dyDescent="0.25">
      <c r="C17" s="15" t="s">
        <v>53</v>
      </c>
      <c r="D17" s="15" t="s">
        <v>56</v>
      </c>
      <c r="E17" s="17">
        <f>0.9*4.35</f>
        <v>3.9149999999999996</v>
      </c>
      <c r="F17">
        <f t="shared" si="0"/>
        <v>42.141059999999996</v>
      </c>
      <c r="L17">
        <f t="shared" si="1"/>
        <v>0</v>
      </c>
      <c r="P17" s="22" t="s">
        <v>51</v>
      </c>
      <c r="Q17" s="23" t="s">
        <v>88</v>
      </c>
      <c r="R17" s="24">
        <f>2*6</f>
        <v>12</v>
      </c>
    </row>
    <row r="18" spans="3:18" x14ac:dyDescent="0.25">
      <c r="C18" s="15" t="s">
        <v>47</v>
      </c>
      <c r="D18" s="15" t="s">
        <v>46</v>
      </c>
      <c r="E18" s="17">
        <f>1.23*1.82</f>
        <v>2.2385999999999999</v>
      </c>
      <c r="F18">
        <f t="shared" si="0"/>
        <v>24.096290399999997</v>
      </c>
      <c r="I18" t="s">
        <v>60</v>
      </c>
      <c r="J18">
        <v>9.4700000000000006</v>
      </c>
      <c r="K18">
        <v>5.16</v>
      </c>
      <c r="L18">
        <f t="shared" si="1"/>
        <v>48.865200000000002</v>
      </c>
      <c r="P18" s="22" t="s">
        <v>89</v>
      </c>
      <c r="Q18" s="23" t="s">
        <v>87</v>
      </c>
      <c r="R18" s="24">
        <f>2*9.25</f>
        <v>18.5</v>
      </c>
    </row>
    <row r="19" spans="3:18" x14ac:dyDescent="0.25">
      <c r="C19" s="15" t="s">
        <v>48</v>
      </c>
      <c r="D19" s="15" t="s">
        <v>50</v>
      </c>
      <c r="E19" s="17">
        <f>1.05*1.3</f>
        <v>1.3650000000000002</v>
      </c>
      <c r="F19">
        <f t="shared" si="0"/>
        <v>14.692860000000001</v>
      </c>
      <c r="I19" t="s">
        <v>61</v>
      </c>
      <c r="J19">
        <v>6.65</v>
      </c>
      <c r="K19">
        <v>4.5599999999999996</v>
      </c>
      <c r="L19">
        <f t="shared" si="1"/>
        <v>30.323999999999998</v>
      </c>
      <c r="P19" s="22" t="s">
        <v>53</v>
      </c>
      <c r="Q19" s="23" t="s">
        <v>90</v>
      </c>
      <c r="R19" s="24">
        <f>2*14.3</f>
        <v>28.6</v>
      </c>
    </row>
    <row r="20" spans="3:18" x14ac:dyDescent="0.25">
      <c r="C20" s="15" t="s">
        <v>49</v>
      </c>
      <c r="D20" s="15" t="s">
        <v>52</v>
      </c>
      <c r="E20" s="17">
        <f>1.2*0.87</f>
        <v>1.044</v>
      </c>
      <c r="F20">
        <f t="shared" si="0"/>
        <v>11.237615999999999</v>
      </c>
      <c r="I20" t="s">
        <v>61</v>
      </c>
      <c r="J20">
        <v>2.09</v>
      </c>
      <c r="K20">
        <v>9.25</v>
      </c>
      <c r="L20">
        <f t="shared" si="1"/>
        <v>19.3325</v>
      </c>
      <c r="P20" s="22" t="s">
        <v>47</v>
      </c>
      <c r="Q20" s="23" t="s">
        <v>91</v>
      </c>
      <c r="R20" s="24">
        <f>3.7*4.5</f>
        <v>16.650000000000002</v>
      </c>
    </row>
    <row r="21" spans="3:18" x14ac:dyDescent="0.25">
      <c r="E21" s="17">
        <f>SUM(E3:E20)</f>
        <v>77.12939999999999</v>
      </c>
      <c r="F21">
        <f t="shared" si="0"/>
        <v>830.22086159999981</v>
      </c>
      <c r="K21" s="6" t="s">
        <v>75</v>
      </c>
      <c r="L21" s="6">
        <f>SUM(L17:L20)</f>
        <v>98.521699999999996</v>
      </c>
      <c r="P21" s="22" t="s">
        <v>48</v>
      </c>
      <c r="Q21" s="23" t="s">
        <v>92</v>
      </c>
      <c r="R21" s="24">
        <f>3.3*3</f>
        <v>9.8999999999999986</v>
      </c>
    </row>
    <row r="22" spans="3:18" x14ac:dyDescent="0.25">
      <c r="D22" s="15" t="s">
        <v>71</v>
      </c>
      <c r="E22" s="17">
        <f>SUM(E21)</f>
        <v>77.12939999999999</v>
      </c>
      <c r="F22">
        <f t="shared" si="0"/>
        <v>830.22086159999981</v>
      </c>
      <c r="K22" s="6" t="s">
        <v>74</v>
      </c>
      <c r="L22" s="6">
        <f>L21+L16</f>
        <v>926.35670000000005</v>
      </c>
      <c r="P22" s="22"/>
      <c r="Q22" s="23"/>
      <c r="R22" s="24"/>
    </row>
    <row r="23" spans="3:18" x14ac:dyDescent="0.25">
      <c r="D23" s="18" t="s">
        <v>72</v>
      </c>
      <c r="E23" s="18">
        <f>E22*10.764</f>
        <v>830.22086159999981</v>
      </c>
      <c r="P23" s="22" t="s">
        <v>93</v>
      </c>
      <c r="Q23" s="23" t="s">
        <v>94</v>
      </c>
      <c r="R23" s="24">
        <f>4.15*5</f>
        <v>20.75</v>
      </c>
    </row>
    <row r="24" spans="3:18" x14ac:dyDescent="0.25">
      <c r="I24" s="6" t="s">
        <v>73</v>
      </c>
      <c r="J24" s="6"/>
      <c r="K24" s="6">
        <v>983</v>
      </c>
      <c r="P24" s="22" t="s">
        <v>95</v>
      </c>
      <c r="Q24" s="23" t="s">
        <v>96</v>
      </c>
      <c r="R24" s="24">
        <f>3.5*8.5</f>
        <v>29.75</v>
      </c>
    </row>
    <row r="25" spans="3:18" ht="15.75" thickBot="1" x14ac:dyDescent="0.3">
      <c r="P25" s="26"/>
      <c r="Q25" s="27"/>
      <c r="R25" s="28">
        <f>SUM(R5:R24)</f>
        <v>990.37815999999998</v>
      </c>
    </row>
    <row r="26" spans="3:18" x14ac:dyDescent="0.25">
      <c r="E26" s="15">
        <v>17.22</v>
      </c>
    </row>
    <row r="27" spans="3:18" x14ac:dyDescent="0.25">
      <c r="E27" s="17">
        <f>E22-E26</f>
        <v>59.909399999999991</v>
      </c>
      <c r="I27">
        <f>1.5*2.9</f>
        <v>4.3499999999999996</v>
      </c>
    </row>
    <row r="28" spans="3:18" x14ac:dyDescent="0.25">
      <c r="I28">
        <f>I27*10.764</f>
        <v>46.823399999999992</v>
      </c>
    </row>
  </sheetData>
  <mergeCells count="2">
    <mergeCell ref="Q4:R4"/>
    <mergeCell ref="P2:T2"/>
  </mergeCells>
  <phoneticPr fontId="4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2024-10-08T07:55:17Z</dcterms:modified>
</cp:coreProperties>
</file>