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RLP Vashi\Ashok Kumar Rajkumar Gupta\"/>
    </mc:Choice>
  </mc:AlternateContent>
  <xr:revisionPtr revIDLastSave="0" documentId="13_ncr:1_{57891864-DA10-46CD-9865-EF2AC6622B33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25" i="4" l="1"/>
  <c r="E27" i="4" s="1"/>
  <c r="L51" i="16"/>
  <c r="E28" i="4"/>
  <c r="K54" i="17"/>
  <c r="K52" i="17"/>
  <c r="E29" i="4"/>
  <c r="L52" i="16"/>
  <c r="L54" i="16" s="1"/>
  <c r="L50" i="16"/>
  <c r="K51" i="16"/>
  <c r="K50" i="16"/>
  <c r="E21" i="4"/>
  <c r="E20" i="4"/>
  <c r="E19" i="4"/>
  <c r="Q2" i="4"/>
  <c r="I40" i="4"/>
  <c r="J40" i="4" s="1"/>
  <c r="J39" i="4"/>
  <c r="H23" i="4"/>
  <c r="I21" i="4"/>
  <c r="I20" i="4"/>
  <c r="E30" i="4" l="1"/>
  <c r="J41" i="4"/>
  <c r="H37" i="4"/>
  <c r="Q5" i="4"/>
  <c r="Q6" i="4"/>
  <c r="Q7" i="4"/>
  <c r="Q8" i="4"/>
  <c r="C3" i="4"/>
  <c r="C4" i="4"/>
  <c r="C9" i="4"/>
  <c r="C11" i="4"/>
  <c r="C12" i="4"/>
  <c r="C13" i="4"/>
  <c r="C14" i="4"/>
  <c r="C15" i="4"/>
  <c r="T43" i="4"/>
  <c r="R45" i="4"/>
  <c r="W2" i="4"/>
  <c r="Q11" i="4"/>
  <c r="Q12" i="4"/>
  <c r="Q13" i="4"/>
  <c r="Q14" i="4"/>
  <c r="Q15" i="4"/>
  <c r="V2" i="4"/>
  <c r="U2" i="4"/>
  <c r="R43" i="4" l="1"/>
  <c r="R40" i="4"/>
  <c r="P8" i="4"/>
  <c r="T8" i="4"/>
  <c r="S8" i="4"/>
  <c r="P7" i="4"/>
  <c r="T7" i="4"/>
  <c r="S7" i="4"/>
  <c r="P6" i="4"/>
  <c r="P5" i="4"/>
  <c r="S5" i="4"/>
  <c r="Q42" i="4"/>
  <c r="Q40" i="4"/>
  <c r="Q34" i="4"/>
  <c r="Q41" i="4"/>
  <c r="Q39" i="4"/>
  <c r="Q38" i="4"/>
  <c r="Q37" i="4"/>
  <c r="Q36" i="4"/>
  <c r="Q35" i="4"/>
  <c r="Q33" i="4"/>
  <c r="Q32" i="4"/>
  <c r="Q31" i="4"/>
  <c r="Q30" i="4"/>
  <c r="Q29" i="4"/>
  <c r="Q28" i="4"/>
  <c r="Q27" i="4"/>
  <c r="Q26" i="4"/>
  <c r="Q25" i="4"/>
  <c r="Q24" i="4"/>
  <c r="I22" i="4" l="1"/>
  <c r="J20" i="4"/>
  <c r="I19" i="4"/>
  <c r="J42" i="4" l="1"/>
  <c r="R46" i="4"/>
  <c r="H25" i="4"/>
  <c r="P12" i="4"/>
  <c r="P11" i="4"/>
  <c r="P10" i="4"/>
  <c r="P9" i="4"/>
  <c r="P4" i="4"/>
  <c r="P3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A12" i="4"/>
  <c r="B11" i="4"/>
  <c r="A11" i="4"/>
  <c r="B10" i="4"/>
  <c r="C10" i="4" s="1"/>
  <c r="A10" i="4"/>
  <c r="B9" i="4"/>
  <c r="A9" i="4"/>
  <c r="B8" i="4"/>
  <c r="C8" i="4" s="1"/>
  <c r="A8" i="4"/>
  <c r="A7" i="4"/>
  <c r="B6" i="4"/>
  <c r="C6" i="4" s="1"/>
  <c r="A6" i="4"/>
  <c r="B5" i="4"/>
  <c r="C5" i="4" s="1"/>
  <c r="A5" i="4"/>
  <c r="B4" i="4"/>
  <c r="A4" i="4"/>
  <c r="B3" i="4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<sst xmlns="http://schemas.openxmlformats.org/spreadsheetml/2006/main" count="37" uniqueCount="34">
  <si>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</si>
  <si>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</si>
  <si>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</si>
  <si>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</si>
  <si>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</si>
  <si>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</si>
  <si>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</si>
  <si>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</si>
  <si>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</si>
  <si>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</si>
  <si>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</si>
  <si>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</si>
  <si>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</si>
  <si>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G-54/2:2, 2nd Floor, New Saptrashi CHSL, Plot No. 7, Sector 4, Village - Nerul, </t>
  </si>
  <si>
    <t>bua</t>
  </si>
  <si>
    <t>atta terrace</t>
  </si>
  <si>
    <t>Addl FSI</t>
  </si>
  <si>
    <t>MOU - 05.09.24</t>
  </si>
  <si>
    <t>value</t>
  </si>
  <si>
    <t>rate</t>
  </si>
  <si>
    <t>mca</t>
  </si>
  <si>
    <t>terrace</t>
  </si>
  <si>
    <t>fb</t>
  </si>
  <si>
    <t>20.03.2023</t>
  </si>
  <si>
    <t>21.02.23</t>
  </si>
  <si>
    <t>29.07.22</t>
  </si>
  <si>
    <t>01.02.22</t>
  </si>
  <si>
    <t>yoc - 1995 -allot ltr</t>
  </si>
  <si>
    <t>LS - 2 cr.</t>
  </si>
  <si>
    <t>BUA</t>
  </si>
  <si>
    <t>FSI</t>
  </si>
  <si>
    <t>Terrace</t>
  </si>
  <si>
    <t>40% terrace</t>
  </si>
  <si>
    <t>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</si>
</sst>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9" fontId="0" fillId="0" borderId="0" xfId="0" applyNumberFormat="1" applyFill="1"/>
    <xf numFmtId="4" fontId="1" fillId="3" borderId="0" xfId="0" applyNumberFormat="1" applyFont="1" applyFill="1"/>
    <xf numFmtId="43" fontId="0" fillId="0" borderId="0" xfId="1" applyFont="1"/>
    <xf numFmtId="43" fontId="0" fillId="0" borderId="0" xfId="0" applyNumberFormat="1"/>
    <xf numFmtId="0" fontId="5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534666</xdr:colOff>
      <xdr:row>45</xdr:row>
      <xdr:rowOff>39238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73FE63-FC69-4496-AD46-73DEBDB18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69066" cy="8154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439402</xdr:colOff>
      <xdr:row>50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EA2E12-9C15-445E-99C5-FAF3DA581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73802" cy="8564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BBD4CA-F246-4ADA-90AB-601FAF665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0</xdr:colOff>
      <xdr:row>46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BBCFBD-9DCF-40C0-B339-5DDD874B4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B88BB7-4C61-477E-99BA-25D5B8B5C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72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F5AEC5-81D2-4459-B4C4-8BD6C2415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486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300780-D7FF-401E-AF0B-D246CB99C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0EE88A-4AB8-4448-A9C5-D97F0D9EC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78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FE66C3-E652-4375-975F-F9EF0804F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6"/>
  <sheetViews>
    <sheetView tabSelected="1" topLeftCell="B1" zoomScaleNormal="100" workbookViewId="0">
      <selection activeCell="I18" sqref="I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9" bestFit="1" customWidth="1"/>
    <col min="17" max="17" width="10.7109375" customWidth="1"/>
    <col min="18" max="18" width="16" customWidth="1"/>
    <col min="19" max="19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791.66666666666674</v>
      </c>
      <c r="C2" s="4">
        <f>B2*1.2</f>
        <v>950</v>
      </c>
      <c r="D2" s="4">
        <f t="shared" ref="D2:D13" si="2">C2*1.2</f>
        <v>1140</v>
      </c>
      <c r="E2" s="17">
        <f t="shared" ref="E2:E13" si="3">R2</f>
        <v>14000000</v>
      </c>
      <c r="F2" s="10">
        <f t="shared" ref="F2:F13" si="4">ROUND((E2/B2),0)</f>
        <v>17684</v>
      </c>
      <c r="G2" s="10">
        <f t="shared" ref="G2:G13" si="5">ROUND((E2/C2),0)</f>
        <v>14737</v>
      </c>
      <c r="H2" s="10">
        <f t="shared" ref="H2:H13" si="6">ROUND((E2/D2),0)</f>
        <v>12281</v>
      </c>
      <c r="I2" s="4" t="e">
        <f>#REF!</f>
        <v>#REF!</v>
      </c>
      <c r="J2" s="4">
        <f t="shared" ref="J2:J13" si="7">S2</f>
        <v>0</v>
      </c>
      <c r="O2">
        <v>0</v>
      </c>
      <c r="P2">
        <v>950</v>
      </c>
      <c r="Q2">
        <f>P2/1.2</f>
        <v>791.66666666666674</v>
      </c>
      <c r="R2" s="2">
        <v>14000000</v>
      </c>
      <c r="S2" s="8"/>
      <c r="T2" s="8"/>
      <c r="U2">
        <f>P2/1.5</f>
        <v>633.33333333333337</v>
      </c>
      <c r="V2">
        <f>R2/U2</f>
        <v>22105.263157894737</v>
      </c>
      <c r="W2">
        <f>R2/783</f>
        <v>17879.948914431672</v>
      </c>
    </row>
    <row r="3" spans="1:23" x14ac:dyDescent="0.25">
      <c r="A3" s="4">
        <f t="shared" si="0"/>
        <v>0</v>
      </c>
      <c r="B3" s="4">
        <f t="shared" si="1"/>
        <v>680</v>
      </c>
      <c r="C3" s="4">
        <f t="shared" ref="C3:C9" si="8">B3*1.2</f>
        <v>816</v>
      </c>
      <c r="D3" s="4">
        <f t="shared" si="2"/>
        <v>979.19999999999993</v>
      </c>
      <c r="E3" s="17">
        <f t="shared" si="3"/>
        <v>13500000</v>
      </c>
      <c r="F3" s="10">
        <f t="shared" si="4"/>
        <v>19853</v>
      </c>
      <c r="G3" s="15">
        <f t="shared" si="5"/>
        <v>16544</v>
      </c>
      <c r="H3" s="10">
        <f t="shared" si="6"/>
        <v>13787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9">O3/1.2</f>
        <v>0</v>
      </c>
      <c r="Q3">
        <v>680</v>
      </c>
      <c r="R3" s="2">
        <v>13500000</v>
      </c>
      <c r="S3" s="8"/>
      <c r="T3" s="8"/>
    </row>
    <row r="4" spans="1:23" x14ac:dyDescent="0.25">
      <c r="A4" s="4">
        <f t="shared" si="0"/>
        <v>0</v>
      </c>
      <c r="B4" s="4">
        <f t="shared" si="1"/>
        <v>800</v>
      </c>
      <c r="C4" s="4">
        <f t="shared" si="8"/>
        <v>960</v>
      </c>
      <c r="D4" s="4">
        <f t="shared" si="2"/>
        <v>1152</v>
      </c>
      <c r="E4" s="17">
        <f t="shared" si="3"/>
        <v>12500000</v>
      </c>
      <c r="F4" s="10">
        <f t="shared" si="4"/>
        <v>15625</v>
      </c>
      <c r="G4" s="10">
        <f t="shared" si="5"/>
        <v>13021</v>
      </c>
      <c r="H4" s="10">
        <f t="shared" si="6"/>
        <v>10851</v>
      </c>
      <c r="I4" s="4" t="e">
        <f>#REF!</f>
        <v>#REF!</v>
      </c>
      <c r="J4" s="4">
        <f t="shared" si="7"/>
        <v>0</v>
      </c>
      <c r="O4">
        <v>0</v>
      </c>
      <c r="P4">
        <f t="shared" si="9"/>
        <v>0</v>
      </c>
      <c r="Q4">
        <v>800</v>
      </c>
      <c r="R4" s="2">
        <v>12500000</v>
      </c>
      <c r="S4" s="8"/>
      <c r="T4" s="8"/>
    </row>
    <row r="5" spans="1:23" x14ac:dyDescent="0.25">
      <c r="A5" s="4">
        <f t="shared" si="0"/>
        <v>0</v>
      </c>
      <c r="B5" s="4">
        <f t="shared" si="1"/>
        <v>905.84442000000013</v>
      </c>
      <c r="C5" s="4">
        <f t="shared" si="8"/>
        <v>1087.0133040000001</v>
      </c>
      <c r="D5" s="4">
        <f t="shared" si="2"/>
        <v>1304.4159648</v>
      </c>
      <c r="E5" s="17">
        <f t="shared" si="3"/>
        <v>14000000</v>
      </c>
      <c r="F5" s="10">
        <f t="shared" si="4"/>
        <v>15455</v>
      </c>
      <c r="G5" s="10">
        <f t="shared" si="5"/>
        <v>12879</v>
      </c>
      <c r="H5" s="10">
        <f t="shared" si="6"/>
        <v>10733</v>
      </c>
      <c r="I5" s="4" t="e">
        <f>#REF!</f>
        <v>#REF!</v>
      </c>
      <c r="J5" s="4">
        <f t="shared" si="7"/>
        <v>100.986</v>
      </c>
      <c r="O5">
        <v>0</v>
      </c>
      <c r="P5" s="18">
        <f>S5*10.764</f>
        <v>1087.0133040000001</v>
      </c>
      <c r="Q5" s="18">
        <f>P5/1.2</f>
        <v>905.84442000000013</v>
      </c>
      <c r="R5" s="2">
        <v>14000000</v>
      </c>
      <c r="S5" s="8">
        <f>68.4+32.586</f>
        <v>100.986</v>
      </c>
      <c r="T5" s="8" t="s">
        <v>23</v>
      </c>
    </row>
    <row r="6" spans="1:23" x14ac:dyDescent="0.25">
      <c r="A6" s="4">
        <f t="shared" si="0"/>
        <v>0</v>
      </c>
      <c r="B6" s="4">
        <f t="shared" si="1"/>
        <v>439.53</v>
      </c>
      <c r="C6" s="4">
        <f t="shared" si="8"/>
        <v>527.43599999999992</v>
      </c>
      <c r="D6" s="4">
        <f t="shared" si="2"/>
        <v>632.92319999999984</v>
      </c>
      <c r="E6" s="17">
        <f t="shared" si="3"/>
        <v>7700000</v>
      </c>
      <c r="F6" s="10">
        <f t="shared" si="4"/>
        <v>17519</v>
      </c>
      <c r="G6" s="15">
        <f t="shared" si="5"/>
        <v>14599</v>
      </c>
      <c r="H6" s="10">
        <f t="shared" si="6"/>
        <v>12166</v>
      </c>
      <c r="I6" s="4" t="e">
        <f>#REF!</f>
        <v>#REF!</v>
      </c>
      <c r="J6" s="4">
        <f t="shared" si="7"/>
        <v>0</v>
      </c>
      <c r="O6">
        <v>0</v>
      </c>
      <c r="P6" s="18">
        <f>49*10.764</f>
        <v>527.43599999999992</v>
      </c>
      <c r="Q6" s="18">
        <f t="shared" ref="Q6:Q8" si="10">P6/1.2</f>
        <v>439.53</v>
      </c>
      <c r="R6" s="2">
        <v>7700000</v>
      </c>
      <c r="S6" s="8"/>
      <c r="T6" s="8" t="s">
        <v>24</v>
      </c>
    </row>
    <row r="7" spans="1:23" x14ac:dyDescent="0.25">
      <c r="A7" s="4">
        <f t="shared" si="0"/>
        <v>0</v>
      </c>
      <c r="B7" s="4">
        <f t="shared" si="1"/>
        <v>497.83499999999998</v>
      </c>
      <c r="C7" s="4">
        <f t="shared" si="8"/>
        <v>597.40199999999993</v>
      </c>
      <c r="D7" s="4">
        <f t="shared" si="2"/>
        <v>716.88239999999985</v>
      </c>
      <c r="E7" s="17">
        <f t="shared" si="3"/>
        <v>10000000</v>
      </c>
      <c r="F7" s="10">
        <f t="shared" si="4"/>
        <v>20087</v>
      </c>
      <c r="G7" s="10">
        <f t="shared" si="5"/>
        <v>16739</v>
      </c>
      <c r="H7" s="10">
        <f t="shared" si="6"/>
        <v>13949</v>
      </c>
      <c r="I7" s="4" t="e">
        <f>#REF!</f>
        <v>#REF!</v>
      </c>
      <c r="J7" s="4">
        <f t="shared" si="7"/>
        <v>6.5</v>
      </c>
      <c r="O7">
        <v>0</v>
      </c>
      <c r="P7" s="18">
        <f>T7*10.764</f>
        <v>597.40199999999993</v>
      </c>
      <c r="Q7" s="18">
        <f t="shared" si="10"/>
        <v>497.83499999999998</v>
      </c>
      <c r="R7" s="2">
        <v>10000000</v>
      </c>
      <c r="S7" s="8">
        <f>16.25*40%</f>
        <v>6.5</v>
      </c>
      <c r="T7" s="8">
        <f>49+S7</f>
        <v>55.5</v>
      </c>
      <c r="U7" t="s">
        <v>25</v>
      </c>
    </row>
    <row r="8" spans="1:23" x14ac:dyDescent="0.25">
      <c r="A8" s="4">
        <f t="shared" si="0"/>
        <v>0</v>
      </c>
      <c r="B8" s="4">
        <f t="shared" si="1"/>
        <v>721.0086</v>
      </c>
      <c r="C8" s="4">
        <f t="shared" si="8"/>
        <v>865.21032000000002</v>
      </c>
      <c r="D8" s="4">
        <f t="shared" si="2"/>
        <v>1038.2523839999999</v>
      </c>
      <c r="E8" s="17">
        <f t="shared" si="3"/>
        <v>10500000</v>
      </c>
      <c r="F8" s="10">
        <f t="shared" si="4"/>
        <v>14563</v>
      </c>
      <c r="G8" s="15">
        <f t="shared" si="5"/>
        <v>12136</v>
      </c>
      <c r="H8" s="10">
        <f t="shared" si="6"/>
        <v>10113</v>
      </c>
      <c r="I8" s="4" t="e">
        <f>#REF!</f>
        <v>#REF!</v>
      </c>
      <c r="J8" s="4">
        <f t="shared" si="7"/>
        <v>6.5</v>
      </c>
      <c r="O8">
        <v>0</v>
      </c>
      <c r="P8" s="18">
        <f>T8*10.764</f>
        <v>865.21031999999991</v>
      </c>
      <c r="Q8" s="18">
        <f t="shared" si="10"/>
        <v>721.0086</v>
      </c>
      <c r="R8" s="2">
        <v>10500000</v>
      </c>
      <c r="S8" s="8">
        <f>16.25*40%</f>
        <v>6.5</v>
      </c>
      <c r="T8" s="8">
        <f>S8+73.88</f>
        <v>80.38</v>
      </c>
      <c r="U8" t="s">
        <v>26</v>
      </c>
    </row>
    <row r="9" spans="1:23" x14ac:dyDescent="0.25">
      <c r="A9" s="4">
        <f t="shared" si="0"/>
        <v>0</v>
      </c>
      <c r="B9" s="4">
        <f t="shared" si="1"/>
        <v>1200</v>
      </c>
      <c r="C9" s="4">
        <f t="shared" si="8"/>
        <v>1440</v>
      </c>
      <c r="D9" s="4">
        <f t="shared" si="2"/>
        <v>1728</v>
      </c>
      <c r="E9" s="17">
        <f t="shared" si="3"/>
        <v>20000000</v>
      </c>
      <c r="F9" s="10">
        <f t="shared" si="4"/>
        <v>16667</v>
      </c>
      <c r="G9" s="10">
        <f t="shared" si="5"/>
        <v>13889</v>
      </c>
      <c r="H9" s="10">
        <f t="shared" si="6"/>
        <v>11574</v>
      </c>
      <c r="I9" s="4" t="e">
        <f>#REF!</f>
        <v>#REF!</v>
      </c>
      <c r="J9" s="4">
        <f t="shared" si="7"/>
        <v>0</v>
      </c>
      <c r="O9">
        <v>0</v>
      </c>
      <c r="P9">
        <f t="shared" si="9"/>
        <v>0</v>
      </c>
      <c r="Q9">
        <v>1200</v>
      </c>
      <c r="R9" s="2">
        <v>20000000</v>
      </c>
      <c r="S9" s="8"/>
      <c r="T9" s="8"/>
    </row>
    <row r="10" spans="1:23" x14ac:dyDescent="0.25">
      <c r="A10" s="4">
        <f t="shared" si="0"/>
        <v>0</v>
      </c>
      <c r="B10" s="4">
        <f t="shared" si="1"/>
        <v>700</v>
      </c>
      <c r="C10" s="4">
        <f t="shared" ref="C10:C15" si="11">B10*1.5</f>
        <v>1050</v>
      </c>
      <c r="D10" s="4">
        <f t="shared" si="2"/>
        <v>1260</v>
      </c>
      <c r="E10" s="17">
        <f t="shared" si="3"/>
        <v>19000000</v>
      </c>
      <c r="F10" s="10">
        <f t="shared" si="4"/>
        <v>27143</v>
      </c>
      <c r="G10" s="15">
        <f t="shared" si="5"/>
        <v>18095</v>
      </c>
      <c r="H10" s="10">
        <f t="shared" si="6"/>
        <v>15079</v>
      </c>
      <c r="I10" s="4" t="e">
        <f>#REF!</f>
        <v>#REF!</v>
      </c>
      <c r="J10" s="4">
        <f t="shared" si="7"/>
        <v>0</v>
      </c>
      <c r="O10">
        <v>0</v>
      </c>
      <c r="P10">
        <f t="shared" si="9"/>
        <v>0</v>
      </c>
      <c r="Q10">
        <v>700</v>
      </c>
      <c r="R10" s="2">
        <v>19000000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11"/>
        <v>0</v>
      </c>
      <c r="D11" s="4">
        <f t="shared" si="2"/>
        <v>0</v>
      </c>
      <c r="E11" s="17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9"/>
        <v>0</v>
      </c>
      <c r="Q11">
        <f t="shared" ref="Q10:Q15" si="12">P11/1.5</f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11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9"/>
        <v>0</v>
      </c>
      <c r="Q12">
        <f t="shared" si="12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11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si="12"/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11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si="12"/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11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12"/>
        <v>0</v>
      </c>
      <c r="R15" s="2">
        <v>0</v>
      </c>
      <c r="S15" s="8"/>
      <c r="T15" s="8"/>
    </row>
    <row r="17" spans="5:24" x14ac:dyDescent="0.25">
      <c r="G17" t="s">
        <v>13</v>
      </c>
    </row>
    <row r="19" spans="5:24" x14ac:dyDescent="0.25">
      <c r="E19" s="18">
        <f>49*10.764</f>
        <v>527.43599999999992</v>
      </c>
      <c r="G19" t="s">
        <v>14</v>
      </c>
      <c r="H19">
        <v>527</v>
      </c>
      <c r="I19">
        <f>49*10.764</f>
        <v>527.43599999999992</v>
      </c>
    </row>
    <row r="20" spans="5:24" x14ac:dyDescent="0.25">
      <c r="E20" s="18">
        <f>24.821*10.764</f>
        <v>267.17324400000001</v>
      </c>
      <c r="F20" s="16"/>
      <c r="G20" t="s">
        <v>15</v>
      </c>
      <c r="H20">
        <v>175</v>
      </c>
      <c r="I20">
        <f>16.25*10.764</f>
        <v>174.91499999999999</v>
      </c>
      <c r="J20">
        <f>I20*10.764</f>
        <v>1882.7850599999997</v>
      </c>
    </row>
    <row r="21" spans="5:24" x14ac:dyDescent="0.25">
      <c r="E21" s="18">
        <f>16.25*10.764</f>
        <v>174.91499999999999</v>
      </c>
      <c r="F21" s="16"/>
      <c r="G21" t="s">
        <v>32</v>
      </c>
      <c r="H21">
        <v>70</v>
      </c>
      <c r="I21">
        <f>H20*40%</f>
        <v>70</v>
      </c>
      <c r="O21" s="20" t="s">
        <v>33</v>
      </c>
    </row>
    <row r="22" spans="5:24" x14ac:dyDescent="0.25">
      <c r="E22" s="18"/>
      <c r="G22" t="s">
        <v>16</v>
      </c>
      <c r="H22">
        <v>267</v>
      </c>
      <c r="I22">
        <f>24.821*10.764</f>
        <v>267.17324400000001</v>
      </c>
    </row>
    <row r="23" spans="5:24" x14ac:dyDescent="0.25">
      <c r="E23" s="18"/>
      <c r="G23" s="6"/>
      <c r="H23" s="6">
        <f>H22+H21+H19</f>
        <v>864</v>
      </c>
      <c r="O23" t="s">
        <v>20</v>
      </c>
    </row>
    <row r="24" spans="5:24" x14ac:dyDescent="0.25">
      <c r="G24" t="s">
        <v>19</v>
      </c>
      <c r="H24">
        <v>16000</v>
      </c>
      <c r="O24">
        <v>9.6199999999999992</v>
      </c>
      <c r="P24">
        <v>9.32</v>
      </c>
      <c r="Q24">
        <f>P24*O24</f>
        <v>89.6584</v>
      </c>
    </row>
    <row r="25" spans="5:24" x14ac:dyDescent="0.25">
      <c r="E25" s="19">
        <f>E19+E20</f>
        <v>794.60924399999999</v>
      </c>
      <c r="H25">
        <f>H24*H23</f>
        <v>13824000</v>
      </c>
      <c r="O25">
        <v>15.69</v>
      </c>
      <c r="P25" s="11">
        <v>9.1199999999999992</v>
      </c>
      <c r="Q25">
        <f t="shared" ref="Q25:Q41" si="21">P25*O25</f>
        <v>143.09279999999998</v>
      </c>
      <c r="R25" s="13"/>
      <c r="T25" s="11"/>
      <c r="U25" s="11"/>
      <c r="V25" s="11"/>
      <c r="W25" s="11"/>
      <c r="X25" s="11"/>
    </row>
    <row r="26" spans="5:24" x14ac:dyDescent="0.25">
      <c r="E26">
        <v>16000</v>
      </c>
      <c r="O26">
        <v>9.3000000000000007</v>
      </c>
      <c r="P26" s="11">
        <v>5.4</v>
      </c>
      <c r="Q26">
        <f t="shared" si="21"/>
        <v>50.220000000000006</v>
      </c>
      <c r="R26" s="14"/>
      <c r="T26" s="14"/>
      <c r="U26" s="14"/>
      <c r="V26" s="11"/>
      <c r="W26" s="11"/>
      <c r="X26" s="11"/>
    </row>
    <row r="27" spans="5:24" x14ac:dyDescent="0.25">
      <c r="E27" s="19">
        <f>E25*E26</f>
        <v>12713747.903999999</v>
      </c>
      <c r="O27">
        <v>4.5599999999999996</v>
      </c>
      <c r="P27" s="11">
        <v>2.58</v>
      </c>
      <c r="Q27">
        <f t="shared" si="21"/>
        <v>11.764799999999999</v>
      </c>
      <c r="R27" s="11"/>
      <c r="T27" s="11"/>
      <c r="U27" s="11"/>
      <c r="V27" s="11"/>
      <c r="W27" s="11"/>
      <c r="X27" s="11"/>
    </row>
    <row r="28" spans="5:24" x14ac:dyDescent="0.25">
      <c r="E28">
        <f>E26*0.4</f>
        <v>6400</v>
      </c>
      <c r="G28" t="s">
        <v>17</v>
      </c>
      <c r="O28">
        <v>3.78</v>
      </c>
      <c r="P28" s="11">
        <v>3.58</v>
      </c>
      <c r="Q28">
        <f t="shared" si="21"/>
        <v>13.532399999999999</v>
      </c>
      <c r="R28" s="11"/>
      <c r="T28" s="11"/>
      <c r="U28" s="11"/>
      <c r="V28" s="11"/>
      <c r="W28" s="11"/>
      <c r="X28" s="11"/>
    </row>
    <row r="29" spans="5:24" x14ac:dyDescent="0.25">
      <c r="E29" s="19">
        <f>E21*E28</f>
        <v>1119456</v>
      </c>
      <c r="G29" t="s">
        <v>18</v>
      </c>
      <c r="H29">
        <v>13500000</v>
      </c>
      <c r="O29">
        <v>9.86</v>
      </c>
      <c r="P29" s="11">
        <v>9.3000000000000007</v>
      </c>
      <c r="Q29">
        <f t="shared" si="21"/>
        <v>91.698000000000008</v>
      </c>
      <c r="R29" s="12"/>
      <c r="T29" s="12"/>
      <c r="U29" s="12"/>
      <c r="V29" s="11"/>
      <c r="W29" s="11"/>
      <c r="X29" s="11"/>
    </row>
    <row r="30" spans="5:24" x14ac:dyDescent="0.25">
      <c r="E30" s="19">
        <f>E27+E29</f>
        <v>13833203.903999999</v>
      </c>
      <c r="G30" t="s">
        <v>27</v>
      </c>
      <c r="O30">
        <v>4</v>
      </c>
      <c r="P30" s="11">
        <v>3.09</v>
      </c>
      <c r="Q30">
        <f t="shared" si="21"/>
        <v>12.36</v>
      </c>
      <c r="R30" s="11"/>
      <c r="T30" s="11"/>
      <c r="U30" s="11"/>
      <c r="V30" s="11"/>
      <c r="W30" s="11"/>
      <c r="X30" s="11"/>
    </row>
    <row r="31" spans="5:24" x14ac:dyDescent="0.25">
      <c r="G31" t="s">
        <v>28</v>
      </c>
      <c r="O31">
        <v>17.100000000000001</v>
      </c>
      <c r="P31" s="11">
        <v>9.94</v>
      </c>
      <c r="Q31">
        <f t="shared" si="21"/>
        <v>169.97400000000002</v>
      </c>
      <c r="R31" s="11"/>
      <c r="T31" s="11"/>
      <c r="U31" s="11"/>
      <c r="V31" s="11"/>
      <c r="W31" s="11"/>
      <c r="X31" s="11"/>
    </row>
    <row r="32" spans="5:24" x14ac:dyDescent="0.25">
      <c r="O32">
        <v>5.64</v>
      </c>
      <c r="P32" s="11">
        <v>6.46</v>
      </c>
      <c r="Q32">
        <f t="shared" si="21"/>
        <v>36.434399999999997</v>
      </c>
      <c r="R32" s="11"/>
      <c r="T32" s="11"/>
      <c r="U32" s="11"/>
      <c r="V32" s="11"/>
      <c r="W32" s="11"/>
      <c r="X32" s="11"/>
    </row>
    <row r="33" spans="7:24" x14ac:dyDescent="0.25">
      <c r="O33">
        <v>4.6100000000000003</v>
      </c>
      <c r="P33" s="11">
        <v>3.84</v>
      </c>
      <c r="Q33">
        <f t="shared" si="21"/>
        <v>17.702400000000001</v>
      </c>
      <c r="R33" s="11"/>
      <c r="S33" s="6"/>
      <c r="T33" s="11"/>
      <c r="U33" s="11"/>
      <c r="V33" s="11"/>
      <c r="W33" s="11"/>
      <c r="X33" s="11"/>
    </row>
    <row r="34" spans="7:24" x14ac:dyDescent="0.25">
      <c r="G34" t="s">
        <v>29</v>
      </c>
      <c r="H34">
        <v>527</v>
      </c>
      <c r="P34" s="11"/>
      <c r="Q34" s="6">
        <f>SUM(Q24:Q33)</f>
        <v>636.43720000000008</v>
      </c>
      <c r="R34" s="11"/>
      <c r="S34" s="6"/>
      <c r="T34" s="11"/>
      <c r="U34" s="11"/>
      <c r="V34" s="11"/>
      <c r="W34" s="11"/>
      <c r="X34" s="11"/>
    </row>
    <row r="35" spans="7:24" x14ac:dyDescent="0.25">
      <c r="G35" t="s">
        <v>30</v>
      </c>
      <c r="H35">
        <v>267</v>
      </c>
      <c r="Q35">
        <f t="shared" si="21"/>
        <v>0</v>
      </c>
      <c r="R35" s="11"/>
    </row>
    <row r="36" spans="7:24" x14ac:dyDescent="0.25">
      <c r="G36" t="s">
        <v>31</v>
      </c>
      <c r="H36">
        <v>175</v>
      </c>
      <c r="N36" t="s">
        <v>22</v>
      </c>
      <c r="O36">
        <v>1.8</v>
      </c>
      <c r="P36" s="11">
        <v>9.8000000000000007</v>
      </c>
      <c r="Q36" s="6">
        <f t="shared" si="21"/>
        <v>17.64</v>
      </c>
      <c r="R36" s="11"/>
      <c r="T36" s="6"/>
    </row>
    <row r="37" spans="7:24" x14ac:dyDescent="0.25">
      <c r="H37" s="6">
        <f>SUM(H34:H36)</f>
        <v>969</v>
      </c>
      <c r="N37" t="s">
        <v>21</v>
      </c>
      <c r="O37">
        <v>11.77</v>
      </c>
      <c r="P37" s="11">
        <v>14.45</v>
      </c>
      <c r="Q37">
        <f t="shared" si="21"/>
        <v>170.07649999999998</v>
      </c>
      <c r="R37" s="11"/>
      <c r="S37" s="6"/>
    </row>
    <row r="38" spans="7:24" x14ac:dyDescent="0.25">
      <c r="O38">
        <v>10.14</v>
      </c>
      <c r="P38" s="11">
        <v>11.84</v>
      </c>
      <c r="Q38">
        <f t="shared" si="21"/>
        <v>120.05760000000001</v>
      </c>
    </row>
    <row r="39" spans="7:24" x14ac:dyDescent="0.25">
      <c r="H39">
        <v>654.07000000000005</v>
      </c>
      <c r="I39">
        <v>25000</v>
      </c>
      <c r="J39">
        <f>H39*I39</f>
        <v>16351750.000000002</v>
      </c>
      <c r="O39">
        <v>7.33</v>
      </c>
      <c r="P39" s="11">
        <v>4.6100000000000003</v>
      </c>
      <c r="Q39">
        <f t="shared" si="21"/>
        <v>33.7913</v>
      </c>
    </row>
    <row r="40" spans="7:24" x14ac:dyDescent="0.25">
      <c r="H40">
        <v>323.93</v>
      </c>
      <c r="I40">
        <f>I39*0.4</f>
        <v>10000</v>
      </c>
      <c r="J40">
        <f>H40*I40</f>
        <v>3239300</v>
      </c>
      <c r="Q40" s="6">
        <f>SUM(Q37:Q39)</f>
        <v>323.92539999999997</v>
      </c>
      <c r="R40">
        <f>Q40*40%</f>
        <v>129.57015999999999</v>
      </c>
    </row>
    <row r="41" spans="7:24" x14ac:dyDescent="0.25">
      <c r="J41">
        <f>SUM(J39:J40)</f>
        <v>19591050</v>
      </c>
      <c r="Q41">
        <f t="shared" si="21"/>
        <v>0</v>
      </c>
    </row>
    <row r="42" spans="7:24" x14ac:dyDescent="0.25">
      <c r="J42">
        <f>H23/R43</f>
        <v>1.102536732848816</v>
      </c>
      <c r="Q42" s="6">
        <f>Q40+Q36+Q34</f>
        <v>978.00260000000003</v>
      </c>
    </row>
    <row r="43" spans="7:24" x14ac:dyDescent="0.25">
      <c r="Q43">
        <v>20000</v>
      </c>
      <c r="R43">
        <f>Q34+Q36+R40</f>
        <v>783.64736000000005</v>
      </c>
      <c r="T43">
        <f>R43*1.2</f>
        <v>940.37683200000004</v>
      </c>
    </row>
    <row r="44" spans="7:24" x14ac:dyDescent="0.25">
      <c r="R44">
        <v>17800</v>
      </c>
    </row>
    <row r="45" spans="7:24" x14ac:dyDescent="0.25">
      <c r="R45">
        <f>R44*R43</f>
        <v>13948923.008000001</v>
      </c>
    </row>
    <row r="46" spans="7:24" x14ac:dyDescent="0.25">
      <c r="R46">
        <f>R45/H23</f>
        <v>16144.586814814817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J18:L54"/>
  <sheetViews>
    <sheetView topLeftCell="B3" zoomScaleNormal="100" workbookViewId="0">
      <selection activeCell="L54" sqref="L54"/>
    </sheetView>
  </sheetViews>
  <sheetFormatPr defaultRowHeight="15" x14ac:dyDescent="0.25"/>
  <cols>
    <col min="12" max="12" width="15.28515625" bestFit="1" customWidth="1"/>
  </cols>
  <sheetData>
    <row r="18" ht="3.75" customHeight="1" x14ac:dyDescent="0.25"/>
    <row r="19" hidden="1" x14ac:dyDescent="0.25"/>
    <row r="50" spans="10:12" x14ac:dyDescent="0.25">
      <c r="J50">
        <v>68.400000000000006</v>
      </c>
      <c r="K50">
        <f>J50*10.764</f>
        <v>736.25760000000002</v>
      </c>
      <c r="L50" s="18">
        <f>K50</f>
        <v>736.25760000000002</v>
      </c>
    </row>
    <row r="51" spans="10:12" x14ac:dyDescent="0.25">
      <c r="J51">
        <v>32.585999999999999</v>
      </c>
      <c r="K51">
        <f>J51*10.764</f>
        <v>350.75570399999998</v>
      </c>
      <c r="L51" s="18">
        <f>K51</f>
        <v>350.75570399999998</v>
      </c>
    </row>
    <row r="52" spans="10:12" x14ac:dyDescent="0.25">
      <c r="L52" s="18">
        <f>L50+L51</f>
        <v>1087.0133040000001</v>
      </c>
    </row>
    <row r="53" spans="10:12" x14ac:dyDescent="0.25">
      <c r="L53" s="18">
        <v>14000000</v>
      </c>
    </row>
    <row r="54" spans="10:12" x14ac:dyDescent="0.25">
      <c r="L54" s="18">
        <f>L53/L52</f>
        <v>12879.327188069079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J52:K54"/>
  <sheetViews>
    <sheetView topLeftCell="A19" zoomScaleNormal="100" workbookViewId="0">
      <selection activeCell="K55" sqref="K55"/>
    </sheetView>
  </sheetViews>
  <sheetFormatPr defaultRowHeight="15" x14ac:dyDescent="0.25"/>
  <sheetData>
    <row r="52" spans="10:11" x14ac:dyDescent="0.25">
      <c r="J52">
        <v>49</v>
      </c>
      <c r="K52">
        <f>J52*10.764</f>
        <v>527.43599999999992</v>
      </c>
    </row>
    <row r="53" spans="10:11" x14ac:dyDescent="0.25">
      <c r="K53">
        <v>7700000</v>
      </c>
    </row>
    <row r="54" spans="10:11" x14ac:dyDescent="0.25">
      <c r="K54">
        <f>K53/K52</f>
        <v>14598.927642405906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C1" zoomScale="85" zoomScaleNormal="85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2024-09-19T06:31:24Z</dcterms:modified>
</cp:coreProperties>
</file>