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Flat Folder\Kazi\"/>
    </mc:Choice>
  </mc:AlternateContent>
  <xr:revisionPtr revIDLastSave="0" documentId="13_ncr:1_{40467404-8F95-4138-8D2B-070746C15828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Calculation" sheetId="23" r:id="rId1"/>
    <sheet name="Depreciation (2)" sheetId="25" r:id="rId2"/>
    <sheet name="RR" sheetId="24" r:id="rId3"/>
    <sheet name="SI and PI Summary Working" sheetId="26" r:id="rId4"/>
    <sheet name="3221" sheetId="30" r:id="rId5"/>
    <sheet name="3226" sheetId="32" r:id="rId6"/>
    <sheet name="3220" sheetId="33" r:id="rId7"/>
    <sheet name="3225" sheetId="34" r:id="rId8"/>
    <sheet name="Sheet6" sheetId="35" r:id="rId9"/>
    <sheet name="Sheet1" sheetId="36" r:id="rId10"/>
    <sheet name="Sheet2" sheetId="37" r:id="rId11"/>
    <sheet name="Sheet3" sheetId="38" r:id="rId12"/>
    <sheet name="Sheet4" sheetId="39" r:id="rId13"/>
    <sheet name="Sheet5" sheetId="40" r:id="rId14"/>
    <sheet name="Sheet7" sheetId="41" r:id="rId15"/>
    <sheet name="Sheet8" sheetId="42" r:id="rId16"/>
  </sheets>
  <calcPr calcId="191029"/>
</workbook>
</file>

<file path=xl/calcChain.xml><?xml version="1.0" encoding="utf-8"?>
<calcChain xmlns="http://schemas.openxmlformats.org/spreadsheetml/2006/main">
  <c r="C11" i="26" l="1"/>
  <c r="J12" i="26"/>
  <c r="J13" i="26"/>
  <c r="J14" i="26"/>
  <c r="J15" i="26"/>
  <c r="J16" i="26"/>
  <c r="J17" i="26"/>
  <c r="J18" i="26"/>
  <c r="J11" i="26"/>
  <c r="I11" i="26"/>
  <c r="F23" i="23"/>
  <c r="F30" i="23"/>
  <c r="F18" i="23"/>
  <c r="F25" i="23"/>
  <c r="F22" i="23"/>
  <c r="F11" i="23"/>
  <c r="F10" i="23"/>
  <c r="F8" i="23"/>
  <c r="G7" i="23"/>
  <c r="F6" i="23"/>
  <c r="F12" i="23" s="1"/>
  <c r="F5" i="23"/>
  <c r="F14" i="23" s="1"/>
  <c r="J3" i="26"/>
  <c r="J4" i="26"/>
  <c r="J5" i="26"/>
  <c r="J2" i="26"/>
  <c r="G3" i="26"/>
  <c r="G4" i="26"/>
  <c r="G5" i="26"/>
  <c r="G2" i="26"/>
  <c r="D32" i="25"/>
  <c r="E32" i="25"/>
  <c r="C32" i="25"/>
  <c r="B23" i="23"/>
  <c r="B25" i="23" s="1"/>
  <c r="F18" i="26"/>
  <c r="F17" i="26"/>
  <c r="I17" i="26" s="1"/>
  <c r="C14" i="26"/>
  <c r="C13" i="26"/>
  <c r="C12" i="26"/>
  <c r="F16" i="26"/>
  <c r="I15" i="26"/>
  <c r="I16" i="26"/>
  <c r="I18" i="26"/>
  <c r="I14" i="26"/>
  <c r="I13" i="26"/>
  <c r="I12" i="26"/>
  <c r="C4" i="25"/>
  <c r="B22" i="23"/>
  <c r="B18" i="23"/>
  <c r="D25" i="25"/>
  <c r="C25" i="25"/>
  <c r="C7" i="23"/>
  <c r="C5" i="25"/>
  <c r="F5" i="26"/>
  <c r="I5" i="26" s="1"/>
  <c r="F4" i="26"/>
  <c r="I4" i="26" s="1"/>
  <c r="F3" i="26"/>
  <c r="I3" i="26" s="1"/>
  <c r="F2" i="26"/>
  <c r="I2" i="26" s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P64" i="25" s="1"/>
  <c r="D8" i="25"/>
  <c r="F29" i="23" l="1"/>
  <c r="F13" i="23"/>
  <c r="F16" i="23" s="1"/>
  <c r="F19" i="23" s="1"/>
  <c r="F26" i="23" s="1"/>
  <c r="B30" i="23"/>
  <c r="C7" i="25"/>
  <c r="C9" i="25" s="1"/>
  <c r="C10" i="25" s="1"/>
  <c r="E10" i="25" s="1"/>
  <c r="E13" i="25" s="1"/>
  <c r="E5" i="25"/>
  <c r="F32" i="23" l="1"/>
  <c r="F27" i="23"/>
  <c r="F28" i="23"/>
  <c r="B29" i="23"/>
  <c r="B91" i="23"/>
  <c r="B8" i="23"/>
  <c r="B6" i="23"/>
  <c r="B5" i="23"/>
  <c r="B14" i="23" s="1"/>
  <c r="B10" i="23" l="1"/>
  <c r="B11" i="23" s="1"/>
  <c r="B12" i="23" s="1"/>
  <c r="B13" i="23" s="1"/>
  <c r="B16" i="23" l="1"/>
  <c r="B19" i="23" s="1"/>
  <c r="B26" i="23" s="1"/>
  <c r="B32" i="23" s="1"/>
  <c r="B28" i="23" l="1"/>
  <c r="B27" i="23"/>
</calcChain>
</file>

<file path=xl/sharedStrings.xml><?xml version="1.0" encoding="utf-8"?>
<sst xmlns="http://schemas.openxmlformats.org/spreadsheetml/2006/main" count="141" uniqueCount="95">
  <si>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</si>
  <si>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</si>
  <si>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</si>
  <si>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</si>
  <si>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</si>
  <si>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</si>
  <si>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</si>
  <si>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</si>
  <si>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</si>
  <si>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</si>
  <si>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>IV</t>
  </si>
  <si>
    <t>RR Value</t>
  </si>
  <si>
    <t>Rental Value</t>
  </si>
  <si>
    <t>Govt. Value</t>
  </si>
  <si>
    <t>FMV Value</t>
  </si>
  <si>
    <t>RV Value</t>
  </si>
  <si>
    <t>DV Value</t>
  </si>
  <si>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</si>
  <si>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</si>
  <si>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</si>
  <si>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</si>
  <si>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</si>
  <si>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</si>
  <si>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Mumbai</t>
  </si>
  <si>
    <t>Thane</t>
  </si>
  <si>
    <t>Guideline Rate (New Property) -A</t>
  </si>
  <si>
    <t>Sq. Mtr.</t>
  </si>
  <si>
    <t>Sq. Ft.</t>
  </si>
  <si>
    <t>(-) Land Cost - B</t>
  </si>
  <si>
    <t>Floor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</si>
  <si>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</si>
  <si>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</si>
  <si>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</si>
  <si>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</si>
  <si>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</si>
  <si>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</si>
  <si>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</si>
  <si>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</si>
  <si>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</si>
  <si>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</si>
  <si>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</si>
  <si>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</si>
  <si>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</si>
  <si>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</si>
  <si>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</si>
  <si>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Flat No. 302 &amp; 303</t>
  </si>
  <si>
    <t>rate on BUA</t>
  </si>
  <si>
    <t>Sr.</t>
  </si>
  <si>
    <t>Built Up Area in Sq. Ft.</t>
  </si>
  <si>
    <t>Built Up Area in Sq. M.</t>
  </si>
  <si>
    <t>Doc. No.</t>
  </si>
  <si>
    <t>Dated</t>
  </si>
  <si>
    <r>
      <t xml:space="preserve">Purchase Price in </t>
    </r>
    <r>
      <rPr>
        <b/>
        <sz val="11"/>
        <color theme="1"/>
        <rFont val="Rupee Foradian"/>
        <family val="2"/>
      </rPr>
      <t>`</t>
    </r>
  </si>
  <si>
    <r>
      <t xml:space="preserve">Rate / Sq. Ft. in </t>
    </r>
    <r>
      <rPr>
        <b/>
        <sz val="11"/>
        <color theme="1"/>
        <rFont val="Rupee Foradian"/>
        <family val="2"/>
      </rPr>
      <t>`</t>
    </r>
  </si>
  <si>
    <t>3221/2024</t>
  </si>
  <si>
    <t>Flat No. 2902 A</t>
  </si>
  <si>
    <t>Built up Area in Sq. Ft.</t>
  </si>
  <si>
    <t>Carpet Area in Sq. Ft.</t>
  </si>
  <si>
    <t>Car Parking</t>
  </si>
  <si>
    <t>3A &amp; 3B</t>
  </si>
  <si>
    <t>Flat No. 2902 B</t>
  </si>
  <si>
    <t>Flat No. 2902 C</t>
  </si>
  <si>
    <t>Flat No. 2902 D</t>
  </si>
  <si>
    <t>Flat Value</t>
  </si>
  <si>
    <t xml:space="preserve">No. of Car parking </t>
  </si>
  <si>
    <t>Rate per Car Parking</t>
  </si>
  <si>
    <t>Car Parking Value</t>
  </si>
  <si>
    <t xml:space="preserve">Rate per Sq. Ft. on Carpet Area </t>
  </si>
  <si>
    <t>Interior Cost</t>
  </si>
  <si>
    <t>Flat No.</t>
  </si>
  <si>
    <t>1402 B</t>
  </si>
  <si>
    <t>1402 D</t>
  </si>
  <si>
    <t>3226/2024</t>
  </si>
  <si>
    <t>3220/2024</t>
  </si>
  <si>
    <t>1402 A</t>
  </si>
  <si>
    <t>3225/2024</t>
  </si>
  <si>
    <t>102 C</t>
  </si>
  <si>
    <t>Saleable Area in Sq. Ft.</t>
  </si>
  <si>
    <r>
      <t xml:space="preserve">Ask Price in </t>
    </r>
    <r>
      <rPr>
        <b/>
        <sz val="11"/>
        <color theme="1"/>
        <rFont val="Rupee Foradian"/>
        <family val="2"/>
      </rPr>
      <t>`</t>
    </r>
  </si>
  <si>
    <t xml:space="preserve">17th </t>
  </si>
  <si>
    <t>18th</t>
  </si>
  <si>
    <t>4th</t>
  </si>
  <si>
    <t>5th</t>
  </si>
  <si>
    <t>13th</t>
  </si>
  <si>
    <t>12th</t>
  </si>
  <si>
    <t>22nd</t>
  </si>
  <si>
    <t>Total Composite Rate</t>
  </si>
  <si>
    <t>Increased 15% for Higher floor (21th -30th Floor)</t>
  </si>
  <si>
    <t>Total</t>
  </si>
  <si>
    <t>Purchase Cost</t>
  </si>
  <si>
    <t xml:space="preserve">Stamp Duty </t>
  </si>
  <si>
    <t>Reg. Charges</t>
  </si>
  <si>
    <r>
      <t xml:space="preserve">Rate / Sq. Ft. in 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Calibri"/>
        <family val="2"/>
        <scheme val="minor"/>
      </rPr>
      <t xml:space="preserve"> on CA</t>
    </r>
  </si>
  <si>
    <t>Flat No. 2902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</si>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</sst>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1"/>
      <color theme="1"/>
      <name val="Rupee Foradia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1" xfId="0" applyBorder="1"/>
    <xf numFmtId="0" fontId="2" fillId="0" borderId="2" xfId="0" applyFont="1" applyBorder="1"/>
    <xf numFmtId="0" fontId="2" fillId="0" borderId="3" xfId="0" applyFont="1" applyBorder="1"/>
    <xf numFmtId="0" fontId="0" fillId="0" borderId="4" xfId="0" applyBorder="1"/>
    <xf numFmtId="0" fontId="2" fillId="0" borderId="0" xfId="0" applyFont="1"/>
    <xf numFmtId="0" fontId="2" fillId="0" borderId="5" xfId="0" applyFont="1" applyBorder="1"/>
    <xf numFmtId="43" fontId="3" fillId="0" borderId="0" xfId="1" applyFont="1" applyBorder="1"/>
    <xf numFmtId="43" fontId="3" fillId="2" borderId="0" xfId="1" applyFont="1" applyFill="1" applyBorder="1"/>
    <xf numFmtId="0" fontId="0" fillId="0" borderId="4" xfId="0" applyBorder="1" applyAlignment="1">
      <alignment wrapText="1"/>
    </xf>
    <xf numFmtId="0" fontId="3" fillId="0" borderId="0" xfId="0" applyFont="1"/>
    <xf numFmtId="10" fontId="3" fillId="0" borderId="0" xfId="0" applyNumberFormat="1" applyFont="1"/>
    <xf numFmtId="0" fontId="0" fillId="2" borderId="4" xfId="0" applyFill="1" applyBorder="1"/>
    <xf numFmtId="43" fontId="3" fillId="0" borderId="0" xfId="0" applyNumberFormat="1" applyFont="1"/>
    <xf numFmtId="43" fontId="2" fillId="0" borderId="0" xfId="0" applyNumberFormat="1" applyFont="1"/>
    <xf numFmtId="0" fontId="0" fillId="0" borderId="6" xfId="0" applyBorder="1"/>
    <xf numFmtId="43" fontId="2" fillId="0" borderId="7" xfId="0" applyNumberFormat="1" applyFont="1" applyBorder="1"/>
    <xf numFmtId="0" fontId="2" fillId="0" borderId="4" xfId="0" applyFont="1" applyBorder="1"/>
    <xf numFmtId="9" fontId="0" fillId="0" borderId="0" xfId="0" applyNumberFormat="1"/>
    <xf numFmtId="0" fontId="4" fillId="0" borderId="0" xfId="0" applyFont="1"/>
    <xf numFmtId="43" fontId="3" fillId="2" borderId="0" xfId="1" applyFont="1" applyFill="1"/>
    <xf numFmtId="0" fontId="0" fillId="0" borderId="0" xfId="0" applyAlignment="1">
      <alignment horizontal="center"/>
    </xf>
    <xf numFmtId="43" fontId="0" fillId="0" borderId="0" xfId="1" applyFont="1"/>
    <xf numFmtId="0" fontId="0" fillId="2" borderId="10" xfId="0" applyFill="1" applyBorder="1"/>
    <xf numFmtId="43" fontId="0" fillId="2" borderId="10" xfId="1" applyFont="1" applyFill="1" applyBorder="1"/>
    <xf numFmtId="0" fontId="6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0" fillId="0" borderId="13" xfId="0" applyBorder="1"/>
    <xf numFmtId="0" fontId="6" fillId="0" borderId="13" xfId="0" applyFont="1" applyBorder="1" applyAlignment="1">
      <alignment wrapText="1"/>
    </xf>
    <xf numFmtId="0" fontId="0" fillId="0" borderId="14" xfId="0" applyBorder="1"/>
    <xf numFmtId="0" fontId="6" fillId="0" borderId="8" xfId="0" applyFont="1" applyBorder="1"/>
    <xf numFmtId="0" fontId="0" fillId="0" borderId="15" xfId="0" applyBorder="1"/>
    <xf numFmtId="0" fontId="0" fillId="0" borderId="9" xfId="0" applyBorder="1"/>
    <xf numFmtId="0" fontId="6" fillId="0" borderId="16" xfId="0" applyFont="1" applyBorder="1" applyAlignment="1">
      <alignment horizontal="center" wrapText="1"/>
    </xf>
    <xf numFmtId="0" fontId="6" fillId="0" borderId="17" xfId="0" applyFont="1" applyBorder="1" applyAlignment="1">
      <alignment horizontal="center" wrapText="1"/>
    </xf>
    <xf numFmtId="0" fontId="0" fillId="0" borderId="18" xfId="0" applyBorder="1"/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6" fillId="0" borderId="11" xfId="0" applyFont="1" applyBorder="1" applyAlignment="1">
      <alignment wrapText="1"/>
    </xf>
    <xf numFmtId="0" fontId="0" fillId="0" borderId="20" xfId="0" applyBorder="1"/>
    <xf numFmtId="43" fontId="0" fillId="2" borderId="10" xfId="0" applyNumberFormat="1" applyFill="1" applyBorder="1"/>
    <xf numFmtId="0" fontId="0" fillId="0" borderId="19" xfId="0" applyBorder="1"/>
    <xf numFmtId="0" fontId="6" fillId="0" borderId="16" xfId="0" applyFont="1" applyBorder="1" applyAlignment="1">
      <alignment horizontal="right" wrapText="1"/>
    </xf>
    <xf numFmtId="0" fontId="5" fillId="0" borderId="18" xfId="0" applyFont="1" applyBorder="1"/>
    <xf numFmtId="0" fontId="5" fillId="0" borderId="19" xfId="0" applyFont="1" applyBorder="1"/>
    <xf numFmtId="9" fontId="0" fillId="2" borderId="10" xfId="1" applyNumberFormat="1" applyFont="1" applyFill="1" applyBorder="1"/>
    <xf numFmtId="9" fontId="0" fillId="2" borderId="10" xfId="0" applyNumberFormat="1" applyFill="1" applyBorder="1"/>
    <xf numFmtId="0" fontId="0" fillId="2" borderId="10" xfId="0" applyFill="1" applyBorder="1" applyAlignment="1">
      <alignment wrapText="1"/>
    </xf>
    <xf numFmtId="0" fontId="0" fillId="2" borderId="0" xfId="0" applyFill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43" fontId="0" fillId="0" borderId="0" xfId="1" applyFont="1" applyBorder="1"/>
    <xf numFmtId="0" fontId="5" fillId="0" borderId="10" xfId="0" applyFont="1" applyBorder="1"/>
    <xf numFmtId="0" fontId="5" fillId="0" borderId="10" xfId="1" applyNumberFormat="1" applyFont="1" applyBorder="1"/>
    <xf numFmtId="43" fontId="0" fillId="0" borderId="0" xfId="0" applyNumberFormat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7" fillId="0" borderId="10" xfId="0" applyFont="1" applyBorder="1"/>
    <xf numFmtId="0" fontId="0" fillId="0" borderId="10" xfId="0" applyBorder="1"/>
    <xf numFmtId="0" fontId="0" fillId="0" borderId="10" xfId="0" applyBorder="1" applyAlignment="1">
      <alignment wrapText="1"/>
    </xf>
    <xf numFmtId="0" fontId="6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6" fillId="0" borderId="0" xfId="0" applyFont="1" applyAlignment="1">
      <alignment horizontal="right" wrapText="1"/>
    </xf>
    <xf numFmtId="14" fontId="0" fillId="0" borderId="10" xfId="0" applyNumberFormat="1" applyBorder="1"/>
    <xf numFmtId="43" fontId="0" fillId="0" borderId="10" xfId="1" applyFont="1" applyBorder="1"/>
    <xf numFmtId="43" fontId="0" fillId="0" borderId="0" xfId="1" applyFont="1" applyFill="1" applyBorder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9" xfId="0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43" fontId="0" fillId="0" borderId="30" xfId="1" applyFont="1" applyBorder="1" applyAlignment="1">
      <alignment horizontal="center"/>
    </xf>
    <xf numFmtId="43" fontId="0" fillId="0" borderId="31" xfId="1" applyFont="1" applyBorder="1" applyAlignment="1">
      <alignment horizontal="center"/>
    </xf>
    <xf numFmtId="0" fontId="0" fillId="0" borderId="30" xfId="0" applyBorder="1"/>
    <xf numFmtId="43" fontId="5" fillId="0" borderId="10" xfId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486949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C1DFDB-4AEC-1639-2F8E-2166B98A7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11749" cy="88118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FC636-15C1-3104-7B19-A76DE04D0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059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87013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FB569-86BC-F62B-E9D7-F84861EF0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31013" cy="73829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96540</xdr:colOff>
      <xdr:row>38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670AC4-2A15-E655-C098-A6DDE1EFB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40540" cy="739243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96540</xdr:colOff>
      <xdr:row>39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55D1E5-4ECD-3E84-7DF7-F34A3B1FA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40540" cy="75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257892</xdr:colOff>
      <xdr:row>33</xdr:row>
      <xdr:rowOff>124720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A9F6E0-FB69-0C4E-9172-953A2297A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34692" cy="6411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248365</xdr:colOff>
      <xdr:row>33</xdr:row>
      <xdr:rowOff>77088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FBD117-BFA5-8AC3-5EE1-34B2B9A6E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25165" cy="63635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248365</xdr:colOff>
      <xdr:row>33</xdr:row>
      <xdr:rowOff>105667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6670B5-82FD-9E79-2799-16CC1FE0B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25165" cy="63921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238839</xdr:colOff>
      <xdr:row>33</xdr:row>
      <xdr:rowOff>48509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62A438-FAE6-FFE2-AAD1-0DBC22802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15639" cy="63350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39EE73-DE73-A208-96A0-EAFF41172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7725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40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0EF134-E192-029A-05D3-F98B198A6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76210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40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6571F-01AF-3720-3935-98A6EC3DA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76305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EE68A4-F133-6105-B396-8D1560DD1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7887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91"/>
  <sheetViews>
    <sheetView tabSelected="1" topLeftCell="A2" workbookViewId="0">
      <selection activeCell="F4" sqref="F4"/>
    </sheetView>
  </sheetViews>
  <sheetFormatPr defaultColWidth="14.140625" defaultRowHeight="15" x14ac:dyDescent="0.25"/>
  <cols>
    <col min="1" max="1" width="28.85546875" bestFit="1" customWidth="1"/>
    <col min="2" max="2" width="15.28515625" style="5" bestFit="1" customWidth="1"/>
    <col min="3" max="3" width="11" style="5" bestFit="1" customWidth="1"/>
    <col min="5" max="5" width="28.85546875" bestFit="1" customWidth="1"/>
    <col min="6" max="6" width="15.28515625" bestFit="1" customWidth="1"/>
  </cols>
  <sheetData>
    <row r="1" spans="1:7" x14ac:dyDescent="0.25">
      <c r="A1" s="1"/>
      <c r="B1" s="2"/>
      <c r="C1" s="3"/>
    </row>
    <row r="2" spans="1:7" x14ac:dyDescent="0.25">
      <c r="A2" s="71" t="s">
        <v>93</v>
      </c>
      <c r="B2" s="72"/>
      <c r="C2" s="6"/>
      <c r="E2" s="71" t="s">
        <v>93</v>
      </c>
      <c r="F2" s="72"/>
      <c r="G2" s="6"/>
    </row>
    <row r="3" spans="1:7" x14ac:dyDescent="0.25">
      <c r="A3" s="4" t="s">
        <v>0</v>
      </c>
      <c r="B3" s="7">
        <v>42000</v>
      </c>
      <c r="C3" s="8" t="s">
        <v>46</v>
      </c>
      <c r="E3" s="4" t="s">
        <v>0</v>
      </c>
      <c r="F3" s="7">
        <v>56000</v>
      </c>
      <c r="G3" s="8" t="s">
        <v>94</v>
      </c>
    </row>
    <row r="4" spans="1:7" ht="30" x14ac:dyDescent="0.25">
      <c r="A4" s="9" t="s">
        <v>1</v>
      </c>
      <c r="B4" s="7">
        <v>3000</v>
      </c>
      <c r="C4"/>
      <c r="E4" s="9" t="s">
        <v>1</v>
      </c>
      <c r="F4" s="7">
        <v>3000</v>
      </c>
    </row>
    <row r="5" spans="1:7" x14ac:dyDescent="0.25">
      <c r="A5" s="4" t="s">
        <v>2</v>
      </c>
      <c r="B5" s="7">
        <f>B3-B4</f>
        <v>39000</v>
      </c>
      <c r="C5"/>
      <c r="E5" s="4" t="s">
        <v>2</v>
      </c>
      <c r="F5" s="7">
        <f>F3-F4</f>
        <v>53000</v>
      </c>
    </row>
    <row r="6" spans="1:7" x14ac:dyDescent="0.25">
      <c r="A6" s="4" t="s">
        <v>3</v>
      </c>
      <c r="B6" s="7">
        <f>B4</f>
        <v>3000</v>
      </c>
      <c r="C6"/>
      <c r="E6" s="4" t="s">
        <v>3</v>
      </c>
      <c r="F6" s="7">
        <f>F4</f>
        <v>3000</v>
      </c>
    </row>
    <row r="7" spans="1:7" x14ac:dyDescent="0.25">
      <c r="A7" s="4" t="s">
        <v>4</v>
      </c>
      <c r="B7" s="10">
        <v>20</v>
      </c>
      <c r="C7">
        <f>2024-2004</f>
        <v>20</v>
      </c>
      <c r="E7" s="4" t="s">
        <v>4</v>
      </c>
      <c r="F7" s="10">
        <v>20</v>
      </c>
      <c r="G7">
        <f>2024-2004</f>
        <v>20</v>
      </c>
    </row>
    <row r="8" spans="1:7" x14ac:dyDescent="0.25">
      <c r="A8" s="4" t="s">
        <v>5</v>
      </c>
      <c r="B8" s="10">
        <f>B9-B7</f>
        <v>40</v>
      </c>
      <c r="C8"/>
      <c r="E8" s="4" t="s">
        <v>5</v>
      </c>
      <c r="F8" s="10">
        <f>F9-F7</f>
        <v>40</v>
      </c>
    </row>
    <row r="9" spans="1:7" x14ac:dyDescent="0.25">
      <c r="A9" s="4" t="s">
        <v>6</v>
      </c>
      <c r="B9" s="10">
        <v>60</v>
      </c>
      <c r="C9"/>
      <c r="E9" s="4" t="s">
        <v>6</v>
      </c>
      <c r="F9" s="10">
        <v>60</v>
      </c>
    </row>
    <row r="10" spans="1:7" ht="45" customHeight="1" x14ac:dyDescent="0.25">
      <c r="A10" s="9" t="s">
        <v>7</v>
      </c>
      <c r="B10" s="10">
        <f>90*B7/B9</f>
        <v>30</v>
      </c>
      <c r="C10"/>
      <c r="E10" s="9" t="s">
        <v>7</v>
      </c>
      <c r="F10" s="10">
        <f>90*F7/F9</f>
        <v>30</v>
      </c>
    </row>
    <row r="11" spans="1:7" x14ac:dyDescent="0.25">
      <c r="A11" s="4"/>
      <c r="B11" s="11">
        <f>B10%</f>
        <v>0.3</v>
      </c>
      <c r="C11"/>
      <c r="E11" s="4"/>
      <c r="F11" s="11">
        <f>F10%</f>
        <v>0.3</v>
      </c>
    </row>
    <row r="12" spans="1:7" x14ac:dyDescent="0.25">
      <c r="A12" s="4" t="s">
        <v>8</v>
      </c>
      <c r="B12" s="7">
        <f>B6*B11</f>
        <v>900</v>
      </c>
      <c r="C12"/>
      <c r="E12" s="4" t="s">
        <v>8</v>
      </c>
      <c r="F12" s="7">
        <f>F6*F11</f>
        <v>900</v>
      </c>
    </row>
    <row r="13" spans="1:7" x14ac:dyDescent="0.25">
      <c r="A13" s="4" t="s">
        <v>9</v>
      </c>
      <c r="B13" s="7">
        <f>B6-B12</f>
        <v>2100</v>
      </c>
      <c r="C13"/>
      <c r="E13" s="4" t="s">
        <v>9</v>
      </c>
      <c r="F13" s="7">
        <f>F6-F12</f>
        <v>2100</v>
      </c>
    </row>
    <row r="14" spans="1:7" x14ac:dyDescent="0.25">
      <c r="A14" s="4" t="s">
        <v>2</v>
      </c>
      <c r="B14" s="7">
        <f>B5</f>
        <v>39000</v>
      </c>
      <c r="C14"/>
      <c r="E14" s="4" t="s">
        <v>2</v>
      </c>
      <c r="F14" s="7">
        <f>F5</f>
        <v>53000</v>
      </c>
    </row>
    <row r="15" spans="1:7" x14ac:dyDescent="0.25">
      <c r="B15" s="7"/>
      <c r="C15"/>
      <c r="F15" s="7"/>
    </row>
    <row r="16" spans="1:7" x14ac:dyDescent="0.25">
      <c r="A16" s="12" t="s">
        <v>86</v>
      </c>
      <c r="B16" s="8">
        <f>ROUND(B14+B13,0)</f>
        <v>41100</v>
      </c>
      <c r="C16"/>
      <c r="E16" s="12" t="s">
        <v>86</v>
      </c>
      <c r="F16" s="8">
        <f>ROUND(F14+F13,0)</f>
        <v>55100</v>
      </c>
    </row>
    <row r="17" spans="1:7" x14ac:dyDescent="0.25">
      <c r="B17" s="10"/>
      <c r="C17"/>
      <c r="F17" s="10"/>
    </row>
    <row r="18" spans="1:7" x14ac:dyDescent="0.25">
      <c r="A18" s="12" t="s">
        <v>48</v>
      </c>
      <c r="B18" s="20">
        <f>'Depreciation (2)'!C25</f>
        <v>4195</v>
      </c>
      <c r="C18"/>
      <c r="E18" s="12" t="s">
        <v>48</v>
      </c>
      <c r="F18" s="20">
        <f>'Depreciation (2)'!D25</f>
        <v>3153.86</v>
      </c>
    </row>
    <row r="19" spans="1:7" x14ac:dyDescent="0.25">
      <c r="A19" s="12" t="s">
        <v>63</v>
      </c>
      <c r="B19" s="20">
        <f>ROUND(B18*B16,0)</f>
        <v>172414500</v>
      </c>
      <c r="C19"/>
      <c r="E19" s="12" t="s">
        <v>63</v>
      </c>
      <c r="F19" s="20">
        <f>ROUND(F18*F16,0)</f>
        <v>173777686</v>
      </c>
    </row>
    <row r="20" spans="1:7" x14ac:dyDescent="0.25">
      <c r="A20" s="12" t="s">
        <v>64</v>
      </c>
      <c r="B20" s="20">
        <v>4</v>
      </c>
      <c r="C20"/>
      <c r="E20" s="12" t="s">
        <v>64</v>
      </c>
      <c r="F20" s="20">
        <v>4</v>
      </c>
    </row>
    <row r="21" spans="1:7" x14ac:dyDescent="0.25">
      <c r="A21" s="12" t="s">
        <v>65</v>
      </c>
      <c r="B21" s="20">
        <v>1500000</v>
      </c>
      <c r="C21"/>
      <c r="E21" s="12" t="s">
        <v>65</v>
      </c>
      <c r="F21" s="20">
        <v>1500000</v>
      </c>
    </row>
    <row r="22" spans="1:7" x14ac:dyDescent="0.25">
      <c r="A22" s="12" t="s">
        <v>66</v>
      </c>
      <c r="B22" s="20">
        <f>B20*B21</f>
        <v>6000000</v>
      </c>
      <c r="C22"/>
      <c r="E22" s="12" t="s">
        <v>66</v>
      </c>
      <c r="F22" s="20">
        <f>F20*F21</f>
        <v>6000000</v>
      </c>
    </row>
    <row r="23" spans="1:7" x14ac:dyDescent="0.25">
      <c r="A23" s="12" t="s">
        <v>57</v>
      </c>
      <c r="B23" s="20">
        <f>'Depreciation (2)'!D25</f>
        <v>3153.86</v>
      </c>
      <c r="C23"/>
      <c r="E23" s="12" t="s">
        <v>57</v>
      </c>
      <c r="F23" s="20">
        <f>'Depreciation (2)'!D25</f>
        <v>3153.86</v>
      </c>
    </row>
    <row r="24" spans="1:7" x14ac:dyDescent="0.25">
      <c r="A24" s="12" t="s">
        <v>67</v>
      </c>
      <c r="B24" s="20">
        <v>2500</v>
      </c>
      <c r="C24"/>
      <c r="E24" s="12" t="s">
        <v>67</v>
      </c>
      <c r="F24" s="20">
        <v>2500</v>
      </c>
    </row>
    <row r="25" spans="1:7" x14ac:dyDescent="0.25">
      <c r="A25" s="12" t="s">
        <v>68</v>
      </c>
      <c r="B25" s="20">
        <f>B23*B24</f>
        <v>7884650</v>
      </c>
      <c r="C25"/>
      <c r="E25" s="12" t="s">
        <v>68</v>
      </c>
      <c r="F25" s="20">
        <f>F23*F24</f>
        <v>7884650</v>
      </c>
    </row>
    <row r="26" spans="1:7" x14ac:dyDescent="0.25">
      <c r="A26" s="4" t="s">
        <v>14</v>
      </c>
      <c r="B26" s="13">
        <f>B19+B22+B25</f>
        <v>186299150</v>
      </c>
      <c r="C26" s="22"/>
      <c r="E26" s="4" t="s">
        <v>14</v>
      </c>
      <c r="F26" s="13">
        <f>F19+F22+F25</f>
        <v>187662336</v>
      </c>
      <c r="G26" s="22"/>
    </row>
    <row r="27" spans="1:7" x14ac:dyDescent="0.25">
      <c r="A27" s="4" t="s">
        <v>15</v>
      </c>
      <c r="B27" s="13">
        <f>ROUND(B26*0.9,0)</f>
        <v>167669235</v>
      </c>
      <c r="C27" s="22"/>
      <c r="E27" s="4" t="s">
        <v>15</v>
      </c>
      <c r="F27" s="13">
        <f>ROUND(F26*0.9,0)</f>
        <v>168896102</v>
      </c>
      <c r="G27" s="22"/>
    </row>
    <row r="28" spans="1:7" x14ac:dyDescent="0.25">
      <c r="A28" s="4" t="s">
        <v>16</v>
      </c>
      <c r="B28" s="13">
        <f>ROUND(B26*0.8,0)</f>
        <v>149039320</v>
      </c>
      <c r="C28" s="22"/>
      <c r="E28" s="4" t="s">
        <v>16</v>
      </c>
      <c r="F28" s="13">
        <f>ROUND(F26*0.8,0)</f>
        <v>150129869</v>
      </c>
      <c r="G28" s="22"/>
    </row>
    <row r="29" spans="1:7" x14ac:dyDescent="0.25">
      <c r="A29" s="4" t="s">
        <v>13</v>
      </c>
      <c r="B29" s="14">
        <f>B18*'Depreciation (2)'!E10</f>
        <v>111213645</v>
      </c>
      <c r="C29"/>
      <c r="E29" s="4" t="s">
        <v>13</v>
      </c>
      <c r="F29" s="14">
        <f>F18*'Depreciation (2)'!I10</f>
        <v>293308.98000000004</v>
      </c>
    </row>
    <row r="30" spans="1:7" x14ac:dyDescent="0.25">
      <c r="A30" s="15" t="s">
        <v>10</v>
      </c>
      <c r="B30" s="16">
        <f>B4*B18</f>
        <v>12585000</v>
      </c>
      <c r="C30"/>
      <c r="E30" s="15" t="s">
        <v>10</v>
      </c>
      <c r="F30" s="16">
        <f>F4*B18</f>
        <v>12585000</v>
      </c>
    </row>
    <row r="31" spans="1:7" x14ac:dyDescent="0.25">
      <c r="A31" s="4" t="s">
        <v>11</v>
      </c>
      <c r="C31"/>
      <c r="E31" s="4" t="s">
        <v>11</v>
      </c>
      <c r="F31" s="5"/>
    </row>
    <row r="32" spans="1:7" x14ac:dyDescent="0.25">
      <c r="A32" s="17" t="s">
        <v>12</v>
      </c>
      <c r="B32" s="14">
        <f>ROUND(B26*0.03/12,0)</f>
        <v>465748</v>
      </c>
      <c r="C32"/>
      <c r="E32" s="17" t="s">
        <v>12</v>
      </c>
      <c r="F32" s="14">
        <f>ROUND(F26*0.03/12,0)</f>
        <v>469156</v>
      </c>
    </row>
    <row r="33" spans="2:3" x14ac:dyDescent="0.25">
      <c r="B33" s="14"/>
      <c r="C33"/>
    </row>
    <row r="34" spans="2:3" x14ac:dyDescent="0.25">
      <c r="B34" s="1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53" spans="1:1" x14ac:dyDescent="0.25">
      <c r="A53" s="18"/>
    </row>
    <row r="66" spans="1:1" ht="15.75" x14ac:dyDescent="0.25">
      <c r="A66" s="19"/>
    </row>
    <row r="67" spans="1:1" ht="15.75" x14ac:dyDescent="0.25">
      <c r="A67" s="19"/>
    </row>
    <row r="68" spans="1:1" ht="15.75" x14ac:dyDescent="0.25">
      <c r="A68" s="19"/>
    </row>
    <row r="69" spans="1:1" ht="15.75" x14ac:dyDescent="0.25">
      <c r="A69" s="19"/>
    </row>
    <row r="70" spans="1:1" ht="15.75" x14ac:dyDescent="0.25">
      <c r="A70" s="19"/>
    </row>
    <row r="71" spans="1:1" ht="15.75" x14ac:dyDescent="0.25">
      <c r="A71" s="19"/>
    </row>
    <row r="72" spans="1:1" ht="15.75" x14ac:dyDescent="0.25">
      <c r="A72" s="19"/>
    </row>
    <row r="91" spans="2:2" x14ac:dyDescent="0.25">
      <c r="B91" s="5">
        <f>B90*B89</f>
        <v>0</v>
      </c>
    </row>
  </sheetData>
  <mergeCells count="2">
    <mergeCell ref="A2:B2"/>
    <mergeCell ref="E2:F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60A64-225F-4E59-9636-E1C7D9874BF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FADBE-72E6-44FB-9896-63438AD3789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339BA-1671-456A-BAF8-59E457512A4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1518A-437C-4FCE-8415-BB7907A941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DF563-6AF7-4953-8DA9-C0A467D13C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0F4A4-E729-4D3E-A6D2-540AF1FE57A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973C2-5156-4F86-8906-D282549B05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FB3F7-6042-46AE-A70A-8F9B329C6204}">
  <dimension ref="A1:Q76"/>
  <sheetViews>
    <sheetView zoomScaleNormal="100" workbookViewId="0">
      <selection activeCell="C28" sqref="C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20.7109375" bestFit="1" customWidth="1"/>
    <col min="4" max="4" width="19.7109375" bestFit="1" customWidth="1"/>
    <col min="5" max="5" width="15.42578125" bestFit="1" customWidth="1"/>
    <col min="6" max="6" width="6.42578125" bestFit="1" customWidth="1"/>
    <col min="7" max="7" width="8.28515625" style="21" customWidth="1"/>
    <col min="8" max="8" width="13.7109375" style="66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21"/>
    </row>
    <row r="2" spans="2:17" ht="15.75" thickBot="1" x14ac:dyDescent="0.3">
      <c r="B2" s="75" t="s">
        <v>45</v>
      </c>
      <c r="C2" s="75"/>
      <c r="D2" s="75"/>
      <c r="E2" s="75"/>
      <c r="F2" s="76"/>
      <c r="G2" s="73" t="s">
        <v>17</v>
      </c>
      <c r="H2" s="74"/>
    </row>
    <row r="3" spans="2:17" ht="27" thickBot="1" x14ac:dyDescent="0.3">
      <c r="B3" s="23" t="s">
        <v>18</v>
      </c>
      <c r="C3" s="24">
        <v>287840</v>
      </c>
      <c r="D3" s="23"/>
      <c r="E3" s="23"/>
      <c r="F3" s="23"/>
      <c r="G3" s="25" t="s">
        <v>19</v>
      </c>
      <c r="H3" s="26" t="s">
        <v>20</v>
      </c>
      <c r="I3" s="27"/>
      <c r="K3" s="28" t="s">
        <v>21</v>
      </c>
      <c r="L3" s="29"/>
      <c r="N3" s="30" t="s">
        <v>22</v>
      </c>
      <c r="O3" s="31"/>
      <c r="P3" s="31"/>
      <c r="Q3" s="32"/>
    </row>
    <row r="4" spans="2:17" ht="27" thickBot="1" x14ac:dyDescent="0.3">
      <c r="B4" s="23" t="s">
        <v>87</v>
      </c>
      <c r="C4" s="24">
        <f>C3*15%</f>
        <v>43176</v>
      </c>
      <c r="D4" s="23"/>
      <c r="E4" s="23"/>
      <c r="F4" s="23"/>
      <c r="G4" s="33">
        <v>1</v>
      </c>
      <c r="H4" s="34">
        <v>0</v>
      </c>
      <c r="I4" s="35">
        <v>100</v>
      </c>
      <c r="K4" s="36" t="s">
        <v>23</v>
      </c>
      <c r="L4" s="37" t="s">
        <v>24</v>
      </c>
      <c r="N4" s="25" t="s">
        <v>19</v>
      </c>
      <c r="O4" s="38" t="s">
        <v>20</v>
      </c>
      <c r="P4" s="39"/>
    </row>
    <row r="5" spans="2:17" ht="15.75" thickBot="1" x14ac:dyDescent="0.3">
      <c r="B5" s="23" t="s">
        <v>25</v>
      </c>
      <c r="C5" s="24">
        <f>C3+C4</f>
        <v>331016</v>
      </c>
      <c r="D5" s="23" t="s">
        <v>26</v>
      </c>
      <c r="E5" s="40">
        <f>ROUND(C5/10.764,0)</f>
        <v>30752</v>
      </c>
      <c r="F5" s="23" t="s">
        <v>27</v>
      </c>
      <c r="G5" s="33">
        <v>2</v>
      </c>
      <c r="H5" s="34">
        <v>0</v>
      </c>
      <c r="I5" s="35">
        <v>100</v>
      </c>
      <c r="K5" s="35">
        <v>2554.8123374210331</v>
      </c>
      <c r="L5" s="41">
        <v>2248.2348569305091</v>
      </c>
      <c r="N5" s="33">
        <v>1</v>
      </c>
      <c r="O5" s="42">
        <v>0</v>
      </c>
      <c r="P5" s="35">
        <v>100</v>
      </c>
    </row>
    <row r="6" spans="2:17" ht="15.75" thickBot="1" x14ac:dyDescent="0.3">
      <c r="B6" s="23" t="s">
        <v>28</v>
      </c>
      <c r="C6" s="24">
        <v>102750</v>
      </c>
      <c r="D6" s="23"/>
      <c r="E6" s="23"/>
      <c r="F6" s="23"/>
      <c r="G6" s="33">
        <v>3</v>
      </c>
      <c r="H6" s="34">
        <v>5</v>
      </c>
      <c r="I6" s="35">
        <v>95</v>
      </c>
      <c r="K6" s="43" t="s">
        <v>29</v>
      </c>
      <c r="L6" s="44" t="s">
        <v>30</v>
      </c>
      <c r="N6" s="33">
        <v>2</v>
      </c>
      <c r="O6" s="42">
        <v>0</v>
      </c>
      <c r="P6" s="35">
        <v>100</v>
      </c>
    </row>
    <row r="7" spans="2:17" ht="15.75" thickBot="1" x14ac:dyDescent="0.3">
      <c r="B7" s="23" t="s">
        <v>31</v>
      </c>
      <c r="C7" s="24">
        <f>C5-C6</f>
        <v>228266</v>
      </c>
      <c r="D7" s="23"/>
      <c r="E7" s="23"/>
      <c r="F7" s="23"/>
      <c r="G7" s="33">
        <v>4</v>
      </c>
      <c r="H7" s="34">
        <v>5</v>
      </c>
      <c r="I7" s="35">
        <v>95</v>
      </c>
      <c r="K7" s="35" t="s">
        <v>32</v>
      </c>
      <c r="L7" s="41" t="s">
        <v>33</v>
      </c>
      <c r="N7" s="33">
        <v>3</v>
      </c>
      <c r="O7" s="42">
        <v>5</v>
      </c>
      <c r="P7" s="35">
        <v>95</v>
      </c>
    </row>
    <row r="8" spans="2:17" ht="15.75" thickBot="1" x14ac:dyDescent="0.3">
      <c r="B8" s="23" t="s">
        <v>34</v>
      </c>
      <c r="C8" s="45">
        <v>0.2</v>
      </c>
      <c r="D8" s="46">
        <f>1-C8</f>
        <v>0.8</v>
      </c>
      <c r="E8" s="23"/>
      <c r="F8" s="23"/>
      <c r="G8" s="33">
        <v>5</v>
      </c>
      <c r="H8" s="34">
        <v>5</v>
      </c>
      <c r="I8" s="35">
        <v>95</v>
      </c>
      <c r="K8" s="35"/>
      <c r="L8" s="41"/>
      <c r="N8" s="33">
        <v>4</v>
      </c>
      <c r="O8" s="42">
        <v>5</v>
      </c>
      <c r="P8" s="35">
        <v>95</v>
      </c>
    </row>
    <row r="9" spans="2:17" ht="15.75" thickBot="1" x14ac:dyDescent="0.3">
      <c r="B9" s="47" t="s">
        <v>35</v>
      </c>
      <c r="C9" s="24">
        <f>ROUND(C7*D8,0)</f>
        <v>182613</v>
      </c>
      <c r="D9" s="48"/>
      <c r="E9" s="23"/>
      <c r="F9" s="23"/>
      <c r="G9" s="33">
        <v>6</v>
      </c>
      <c r="H9" s="34">
        <v>6</v>
      </c>
      <c r="I9" s="35">
        <v>94</v>
      </c>
      <c r="K9" s="49" t="s">
        <v>36</v>
      </c>
      <c r="L9" s="50">
        <v>0.05</v>
      </c>
      <c r="N9" s="33">
        <v>5</v>
      </c>
      <c r="O9" s="42">
        <v>5</v>
      </c>
      <c r="P9" s="35">
        <v>95</v>
      </c>
    </row>
    <row r="10" spans="2:17" ht="15.75" thickBot="1" x14ac:dyDescent="0.3">
      <c r="B10" s="23" t="s">
        <v>37</v>
      </c>
      <c r="C10" s="24">
        <f>C6+C9</f>
        <v>285363</v>
      </c>
      <c r="D10" s="23" t="s">
        <v>26</v>
      </c>
      <c r="E10" s="40">
        <f>ROUND(C10/10.764,0)</f>
        <v>26511</v>
      </c>
      <c r="F10" s="23" t="s">
        <v>27</v>
      </c>
      <c r="G10" s="33">
        <v>7</v>
      </c>
      <c r="H10" s="34">
        <v>7</v>
      </c>
      <c r="I10" s="35">
        <v>93</v>
      </c>
      <c r="K10" s="51" t="s">
        <v>38</v>
      </c>
      <c r="L10" s="50">
        <v>0.1</v>
      </c>
      <c r="N10" s="33">
        <v>6</v>
      </c>
      <c r="O10" s="42">
        <v>6.5</v>
      </c>
      <c r="P10" s="35">
        <f t="shared" ref="P10:P64" si="0">P9-1.5</f>
        <v>93.5</v>
      </c>
    </row>
    <row r="11" spans="2:17" ht="15.75" thickBot="1" x14ac:dyDescent="0.3">
      <c r="C11" s="52"/>
      <c r="G11" s="33">
        <v>8</v>
      </c>
      <c r="H11" s="34">
        <v>8</v>
      </c>
      <c r="I11" s="35">
        <v>92</v>
      </c>
      <c r="K11" s="35" t="s">
        <v>39</v>
      </c>
      <c r="L11" s="50">
        <v>0.15</v>
      </c>
      <c r="N11" s="33">
        <v>7</v>
      </c>
      <c r="O11" s="42">
        <v>8</v>
      </c>
      <c r="P11" s="35">
        <f t="shared" si="0"/>
        <v>92</v>
      </c>
    </row>
    <row r="12" spans="2:17" ht="15.75" thickBot="1" x14ac:dyDescent="0.3">
      <c r="B12" s="53" t="s">
        <v>40</v>
      </c>
      <c r="C12" s="54">
        <v>2024</v>
      </c>
      <c r="E12" s="55">
        <v>105.84</v>
      </c>
      <c r="G12" s="33">
        <v>9</v>
      </c>
      <c r="H12" s="34">
        <v>9</v>
      </c>
      <c r="I12" s="35">
        <v>91</v>
      </c>
      <c r="K12" s="56" t="s">
        <v>41</v>
      </c>
      <c r="L12" s="57">
        <v>0.2</v>
      </c>
      <c r="N12" s="33">
        <v>8</v>
      </c>
      <c r="O12" s="42">
        <v>9.5</v>
      </c>
      <c r="P12" s="35">
        <f t="shared" si="0"/>
        <v>90.5</v>
      </c>
    </row>
    <row r="13" spans="2:17" ht="15.75" thickBot="1" x14ac:dyDescent="0.3">
      <c r="B13" s="53" t="s">
        <v>42</v>
      </c>
      <c r="C13" s="54">
        <v>2004</v>
      </c>
      <c r="D13" s="55"/>
      <c r="E13">
        <f>E10*E12</f>
        <v>2805924.24</v>
      </c>
      <c r="G13" s="33">
        <v>10</v>
      </c>
      <c r="H13" s="34">
        <v>10</v>
      </c>
      <c r="I13" s="35">
        <v>90</v>
      </c>
      <c r="K13" s="58"/>
      <c r="L13" s="59"/>
      <c r="N13" s="33">
        <v>9</v>
      </c>
      <c r="O13" s="42">
        <v>11</v>
      </c>
      <c r="P13" s="35">
        <f t="shared" si="0"/>
        <v>89</v>
      </c>
    </row>
    <row r="14" spans="2:17" ht="15.75" thickBot="1" x14ac:dyDescent="0.3">
      <c r="B14" s="53" t="s">
        <v>43</v>
      </c>
      <c r="C14" s="54">
        <f>C12-C13</f>
        <v>20</v>
      </c>
      <c r="G14" s="33">
        <v>11</v>
      </c>
      <c r="H14" s="34">
        <v>11</v>
      </c>
      <c r="I14" s="35">
        <v>89</v>
      </c>
      <c r="K14" s="60"/>
      <c r="L14" s="61"/>
      <c r="N14" s="33">
        <v>10</v>
      </c>
      <c r="O14" s="42">
        <v>12.5</v>
      </c>
      <c r="P14" s="35">
        <f t="shared" si="0"/>
        <v>87.5</v>
      </c>
    </row>
    <row r="15" spans="2:17" ht="17.25" thickBot="1" x14ac:dyDescent="0.35">
      <c r="B15" s="62" t="s">
        <v>44</v>
      </c>
      <c r="C15" s="53">
        <f>60-C14</f>
        <v>40</v>
      </c>
      <c r="G15" s="33">
        <v>12</v>
      </c>
      <c r="H15" s="34">
        <v>12</v>
      </c>
      <c r="I15" s="35">
        <v>88</v>
      </c>
      <c r="N15" s="33">
        <v>11</v>
      </c>
      <c r="O15" s="42">
        <v>14</v>
      </c>
      <c r="P15" s="35">
        <f t="shared" si="0"/>
        <v>86</v>
      </c>
    </row>
    <row r="16" spans="2:17" ht="15.75" thickBot="1" x14ac:dyDescent="0.3">
      <c r="E16" s="55"/>
      <c r="G16" s="33">
        <v>13</v>
      </c>
      <c r="H16" s="34">
        <v>13</v>
      </c>
      <c r="I16" s="35">
        <v>87</v>
      </c>
      <c r="J16" s="55"/>
      <c r="N16" s="33">
        <v>12</v>
      </c>
      <c r="O16" s="42">
        <v>15.5</v>
      </c>
      <c r="P16" s="35">
        <f t="shared" si="0"/>
        <v>84.5</v>
      </c>
    </row>
    <row r="17" spans="1:16" ht="15.75" thickBot="1" x14ac:dyDescent="0.3">
      <c r="G17" s="33">
        <v>14</v>
      </c>
      <c r="H17" s="34">
        <v>14</v>
      </c>
      <c r="I17" s="35">
        <v>86</v>
      </c>
      <c r="K17" s="55"/>
      <c r="L17" s="55"/>
      <c r="N17" s="33">
        <v>13</v>
      </c>
      <c r="O17" s="42">
        <v>17</v>
      </c>
      <c r="P17" s="35">
        <f t="shared" si="0"/>
        <v>83</v>
      </c>
    </row>
    <row r="18" spans="1:16" ht="15.75" thickBot="1" x14ac:dyDescent="0.3">
      <c r="G18" s="33">
        <v>15</v>
      </c>
      <c r="H18" s="34">
        <v>15</v>
      </c>
      <c r="I18" s="35">
        <v>85</v>
      </c>
      <c r="J18" s="55"/>
      <c r="L18" s="55"/>
      <c r="N18" s="33">
        <v>14</v>
      </c>
      <c r="O18" s="42">
        <v>18.5</v>
      </c>
      <c r="P18" s="35">
        <f t="shared" si="0"/>
        <v>81.5</v>
      </c>
    </row>
    <row r="19" spans="1:16" ht="15.75" thickBot="1" x14ac:dyDescent="0.3">
      <c r="G19" s="33">
        <v>16</v>
      </c>
      <c r="H19" s="34">
        <v>16</v>
      </c>
      <c r="I19" s="35">
        <v>84</v>
      </c>
      <c r="N19" s="33">
        <v>15</v>
      </c>
      <c r="O19" s="42">
        <v>20</v>
      </c>
      <c r="P19" s="35">
        <f t="shared" si="0"/>
        <v>80</v>
      </c>
    </row>
    <row r="20" spans="1:16" ht="15.75" thickBot="1" x14ac:dyDescent="0.3">
      <c r="C20" t="s">
        <v>56</v>
      </c>
      <c r="D20" t="s">
        <v>57</v>
      </c>
      <c r="E20" t="s">
        <v>58</v>
      </c>
      <c r="G20" s="33">
        <v>17</v>
      </c>
      <c r="H20" s="34">
        <v>17</v>
      </c>
      <c r="I20" s="35">
        <v>83</v>
      </c>
      <c r="N20" s="33">
        <v>16</v>
      </c>
      <c r="O20" s="42">
        <v>21.5</v>
      </c>
      <c r="P20" s="35">
        <f t="shared" si="0"/>
        <v>78.5</v>
      </c>
    </row>
    <row r="21" spans="1:16" ht="15.75" thickBot="1" x14ac:dyDescent="0.3">
      <c r="B21" t="s">
        <v>55</v>
      </c>
      <c r="C21" s="22">
        <v>1225</v>
      </c>
      <c r="D21" s="22">
        <v>920.97</v>
      </c>
      <c r="E21" t="s">
        <v>59</v>
      </c>
      <c r="G21" s="33">
        <v>18</v>
      </c>
      <c r="H21" s="34">
        <v>18</v>
      </c>
      <c r="I21" s="35">
        <v>82</v>
      </c>
      <c r="N21" s="33">
        <v>17</v>
      </c>
      <c r="O21" s="42">
        <v>23</v>
      </c>
      <c r="P21" s="35">
        <f t="shared" si="0"/>
        <v>77</v>
      </c>
    </row>
    <row r="22" spans="1:16" ht="15.75" thickBot="1" x14ac:dyDescent="0.3">
      <c r="B22" t="s">
        <v>60</v>
      </c>
      <c r="C22" s="22">
        <v>1145</v>
      </c>
      <c r="D22" s="22">
        <v>860.8</v>
      </c>
      <c r="E22">
        <v>53</v>
      </c>
      <c r="G22" s="33">
        <v>19</v>
      </c>
      <c r="H22" s="34">
        <v>19</v>
      </c>
      <c r="I22" s="35">
        <v>81</v>
      </c>
      <c r="N22" s="33">
        <v>18</v>
      </c>
      <c r="O22" s="42">
        <v>24.5</v>
      </c>
      <c r="P22" s="35">
        <f t="shared" si="0"/>
        <v>75.5</v>
      </c>
    </row>
    <row r="23" spans="1:16" ht="15.75" thickBot="1" x14ac:dyDescent="0.3">
      <c r="B23" t="s">
        <v>61</v>
      </c>
      <c r="C23" s="22">
        <v>1210</v>
      </c>
      <c r="D23" s="22">
        <v>909.78</v>
      </c>
      <c r="E23">
        <v>54</v>
      </c>
      <c r="G23" s="33">
        <v>20</v>
      </c>
      <c r="H23" s="34">
        <v>20</v>
      </c>
      <c r="I23" s="35">
        <v>80</v>
      </c>
      <c r="N23" s="33">
        <v>19</v>
      </c>
      <c r="O23" s="42">
        <v>26</v>
      </c>
      <c r="P23" s="35">
        <f t="shared" si="0"/>
        <v>74</v>
      </c>
    </row>
    <row r="24" spans="1:16" ht="15.75" thickBot="1" x14ac:dyDescent="0.3">
      <c r="B24" t="s">
        <v>62</v>
      </c>
      <c r="C24" s="22">
        <v>615</v>
      </c>
      <c r="D24" s="22">
        <v>462.31</v>
      </c>
      <c r="G24" s="33">
        <v>21</v>
      </c>
      <c r="H24" s="34">
        <v>21</v>
      </c>
      <c r="I24" s="35">
        <v>79</v>
      </c>
      <c r="N24" s="33">
        <v>20</v>
      </c>
      <c r="O24" s="42">
        <v>27.5</v>
      </c>
      <c r="P24" s="35">
        <f t="shared" si="0"/>
        <v>72.5</v>
      </c>
    </row>
    <row r="25" spans="1:16" ht="15.75" thickBot="1" x14ac:dyDescent="0.3">
      <c r="C25" s="22">
        <f>SUM(C21:C24)</f>
        <v>4195</v>
      </c>
      <c r="D25" s="22">
        <f>SUM(D21:D24)</f>
        <v>3153.86</v>
      </c>
      <c r="G25" s="33">
        <v>22</v>
      </c>
      <c r="H25" s="34">
        <v>22</v>
      </c>
      <c r="I25" s="35">
        <v>78</v>
      </c>
      <c r="N25" s="33">
        <v>21</v>
      </c>
      <c r="O25" s="42">
        <v>29</v>
      </c>
      <c r="P25" s="35">
        <f t="shared" si="0"/>
        <v>71</v>
      </c>
    </row>
    <row r="26" spans="1:16" ht="15.75" thickBot="1" x14ac:dyDescent="0.3">
      <c r="G26" s="33">
        <v>23</v>
      </c>
      <c r="H26" s="34">
        <v>23</v>
      </c>
      <c r="I26" s="35">
        <v>77</v>
      </c>
      <c r="N26" s="33">
        <v>22</v>
      </c>
      <c r="O26" s="42">
        <v>30.5</v>
      </c>
      <c r="P26" s="35">
        <f t="shared" si="0"/>
        <v>69.5</v>
      </c>
    </row>
    <row r="27" spans="1:16" ht="15.75" thickBot="1" x14ac:dyDescent="0.3">
      <c r="B27" s="63"/>
      <c r="C27" s="63" t="s">
        <v>89</v>
      </c>
      <c r="D27" s="63" t="s">
        <v>90</v>
      </c>
      <c r="E27" s="63" t="s">
        <v>91</v>
      </c>
      <c r="G27" s="33"/>
      <c r="H27" s="34"/>
      <c r="I27" s="35"/>
      <c r="N27" s="33"/>
      <c r="O27" s="42"/>
      <c r="P27" s="35"/>
    </row>
    <row r="28" spans="1:16" ht="15.75" thickBot="1" x14ac:dyDescent="0.3">
      <c r="B28" s="63" t="s">
        <v>55</v>
      </c>
      <c r="C28" s="69">
        <v>30160000</v>
      </c>
      <c r="D28" s="69">
        <v>662100</v>
      </c>
      <c r="E28" s="69">
        <v>30000</v>
      </c>
      <c r="G28" s="33">
        <v>24</v>
      </c>
      <c r="H28" s="34">
        <v>24</v>
      </c>
      <c r="I28" s="35">
        <v>76</v>
      </c>
      <c r="N28" s="33">
        <v>23</v>
      </c>
      <c r="O28" s="42">
        <v>32</v>
      </c>
      <c r="P28" s="35">
        <f>P26-1.5</f>
        <v>68</v>
      </c>
    </row>
    <row r="29" spans="1:16" ht="15.75" thickBot="1" x14ac:dyDescent="0.3">
      <c r="B29" s="63" t="s">
        <v>60</v>
      </c>
      <c r="C29" s="69">
        <v>27360000</v>
      </c>
      <c r="D29" s="69">
        <v>602200</v>
      </c>
      <c r="E29" s="69">
        <v>30000</v>
      </c>
      <c r="G29" s="33">
        <v>25</v>
      </c>
      <c r="H29" s="34">
        <v>25</v>
      </c>
      <c r="I29" s="35">
        <v>75</v>
      </c>
      <c r="N29" s="33">
        <v>24</v>
      </c>
      <c r="O29" s="42">
        <v>33.5</v>
      </c>
      <c r="P29" s="35">
        <f t="shared" si="0"/>
        <v>66.5</v>
      </c>
    </row>
    <row r="30" spans="1:16" ht="15.75" thickBot="1" x14ac:dyDescent="0.3">
      <c r="B30" s="63" t="s">
        <v>61</v>
      </c>
      <c r="C30" s="69">
        <v>28900000</v>
      </c>
      <c r="D30" s="69">
        <v>635300</v>
      </c>
      <c r="E30" s="69">
        <v>30000</v>
      </c>
      <c r="G30" s="33">
        <v>26</v>
      </c>
      <c r="H30" s="34">
        <v>26</v>
      </c>
      <c r="I30" s="35">
        <v>74</v>
      </c>
      <c r="N30" s="33">
        <v>25</v>
      </c>
      <c r="O30" s="42">
        <v>35</v>
      </c>
      <c r="P30" s="35">
        <f t="shared" si="0"/>
        <v>65</v>
      </c>
    </row>
    <row r="31" spans="1:16" ht="15.75" thickBot="1" x14ac:dyDescent="0.3">
      <c r="B31" s="63" t="s">
        <v>62</v>
      </c>
      <c r="C31" s="69">
        <v>14180000</v>
      </c>
      <c r="D31" s="69">
        <v>313200</v>
      </c>
      <c r="E31" s="69">
        <v>30000</v>
      </c>
      <c r="G31" s="33">
        <v>27</v>
      </c>
      <c r="H31" s="34">
        <v>27</v>
      </c>
      <c r="I31" s="35">
        <v>73</v>
      </c>
      <c r="N31" s="33">
        <v>26</v>
      </c>
      <c r="O31" s="42">
        <v>36.5</v>
      </c>
      <c r="P31" s="35">
        <f t="shared" si="0"/>
        <v>63.5</v>
      </c>
    </row>
    <row r="32" spans="1:16" ht="15.75" thickBot="1" x14ac:dyDescent="0.3">
      <c r="A32" s="82"/>
      <c r="B32" s="53" t="s">
        <v>88</v>
      </c>
      <c r="C32" s="83">
        <f>SUM(C28:C31)</f>
        <v>100600000</v>
      </c>
      <c r="D32" s="83">
        <f t="shared" ref="D32:E32" si="1">SUM(D28:D31)</f>
        <v>2212800</v>
      </c>
      <c r="E32" s="83">
        <f t="shared" si="1"/>
        <v>120000</v>
      </c>
      <c r="G32" s="33">
        <v>28</v>
      </c>
      <c r="H32" s="34">
        <v>28</v>
      </c>
      <c r="I32" s="35">
        <v>72</v>
      </c>
      <c r="N32" s="33">
        <v>27</v>
      </c>
      <c r="O32" s="42">
        <v>38</v>
      </c>
      <c r="P32" s="35">
        <f t="shared" si="0"/>
        <v>62</v>
      </c>
    </row>
    <row r="33" spans="1:16" ht="15.75" thickBot="1" x14ac:dyDescent="0.3">
      <c r="A33" s="63"/>
      <c r="C33" s="22"/>
      <c r="G33" s="33">
        <v>29</v>
      </c>
      <c r="H33" s="34">
        <v>29</v>
      </c>
      <c r="I33" s="35">
        <v>71</v>
      </c>
      <c r="N33" s="33">
        <v>28</v>
      </c>
      <c r="O33" s="42">
        <v>39.5</v>
      </c>
      <c r="P33" s="35">
        <f t="shared" si="0"/>
        <v>60.5</v>
      </c>
    </row>
    <row r="34" spans="1:16" ht="15.75" thickBot="1" x14ac:dyDescent="0.3">
      <c r="A34" s="63"/>
      <c r="G34" s="33">
        <v>30</v>
      </c>
      <c r="H34" s="34">
        <v>30</v>
      </c>
      <c r="I34" s="35">
        <v>70</v>
      </c>
      <c r="N34" s="33">
        <v>29</v>
      </c>
      <c r="O34" s="42">
        <v>41</v>
      </c>
      <c r="P34" s="35">
        <f t="shared" si="0"/>
        <v>59</v>
      </c>
    </row>
    <row r="35" spans="1:16" ht="15.75" thickBot="1" x14ac:dyDescent="0.3">
      <c r="A35" s="63"/>
      <c r="G35" s="33">
        <v>31</v>
      </c>
      <c r="H35" s="34">
        <v>31</v>
      </c>
      <c r="I35" s="35">
        <v>69</v>
      </c>
      <c r="N35" s="33">
        <v>30</v>
      </c>
      <c r="O35" s="42">
        <v>42.5</v>
      </c>
      <c r="P35" s="35">
        <f t="shared" si="0"/>
        <v>57.5</v>
      </c>
    </row>
    <row r="36" spans="1:16" ht="15.75" thickBot="1" x14ac:dyDescent="0.3">
      <c r="A36" s="63"/>
      <c r="G36" s="33">
        <v>32</v>
      </c>
      <c r="H36" s="34">
        <v>32</v>
      </c>
      <c r="I36" s="35">
        <v>68</v>
      </c>
      <c r="N36" s="33">
        <v>31</v>
      </c>
      <c r="O36" s="42">
        <v>44</v>
      </c>
      <c r="P36" s="35">
        <f t="shared" si="0"/>
        <v>56</v>
      </c>
    </row>
    <row r="37" spans="1:16" ht="15.75" thickBot="1" x14ac:dyDescent="0.3">
      <c r="A37" s="64"/>
      <c r="G37" s="33">
        <v>33</v>
      </c>
      <c r="H37" s="34">
        <v>33</v>
      </c>
      <c r="I37" s="35">
        <v>67</v>
      </c>
      <c r="N37" s="33">
        <v>32</v>
      </c>
      <c r="O37" s="42">
        <v>45.5</v>
      </c>
      <c r="P37" s="35">
        <f t="shared" si="0"/>
        <v>54.5</v>
      </c>
    </row>
    <row r="38" spans="1:16" ht="15.75" thickBot="1" x14ac:dyDescent="0.3">
      <c r="A38" s="63"/>
      <c r="G38" s="33">
        <v>34</v>
      </c>
      <c r="H38" s="34">
        <v>34</v>
      </c>
      <c r="I38" s="35">
        <v>66</v>
      </c>
      <c r="N38" s="33">
        <v>33</v>
      </c>
      <c r="O38" s="42">
        <v>47</v>
      </c>
      <c r="P38" s="35">
        <f t="shared" si="0"/>
        <v>53</v>
      </c>
    </row>
    <row r="39" spans="1:16" ht="15.75" thickBot="1" x14ac:dyDescent="0.3">
      <c r="G39" s="33">
        <v>35</v>
      </c>
      <c r="H39" s="34">
        <v>35</v>
      </c>
      <c r="I39" s="35">
        <v>65</v>
      </c>
      <c r="N39" s="33">
        <v>34</v>
      </c>
      <c r="O39" s="42">
        <v>48.5</v>
      </c>
      <c r="P39" s="35">
        <f t="shared" si="0"/>
        <v>51.5</v>
      </c>
    </row>
    <row r="40" spans="1:16" ht="15.75" thickBot="1" x14ac:dyDescent="0.3">
      <c r="G40" s="33">
        <v>36</v>
      </c>
      <c r="H40" s="34">
        <v>36</v>
      </c>
      <c r="I40" s="35">
        <v>64</v>
      </c>
      <c r="N40" s="33">
        <v>35</v>
      </c>
      <c r="O40" s="42">
        <v>50</v>
      </c>
      <c r="P40" s="35">
        <f t="shared" si="0"/>
        <v>50</v>
      </c>
    </row>
    <row r="41" spans="1:16" ht="15.75" thickBot="1" x14ac:dyDescent="0.3">
      <c r="G41" s="33">
        <v>37</v>
      </c>
      <c r="H41" s="34">
        <v>37</v>
      </c>
      <c r="I41" s="35">
        <v>63</v>
      </c>
      <c r="N41" s="33">
        <v>36</v>
      </c>
      <c r="O41" s="42">
        <v>51.5</v>
      </c>
      <c r="P41" s="35">
        <f t="shared" si="0"/>
        <v>48.5</v>
      </c>
    </row>
    <row r="42" spans="1:16" ht="15.75" thickBot="1" x14ac:dyDescent="0.3">
      <c r="G42" s="33">
        <v>38</v>
      </c>
      <c r="H42" s="34">
        <v>38</v>
      </c>
      <c r="I42" s="35">
        <v>62</v>
      </c>
      <c r="N42" s="33">
        <v>37</v>
      </c>
      <c r="O42" s="42">
        <v>53</v>
      </c>
      <c r="P42" s="35">
        <f t="shared" si="0"/>
        <v>47</v>
      </c>
    </row>
    <row r="43" spans="1:16" ht="15.75" thickBot="1" x14ac:dyDescent="0.3">
      <c r="G43" s="33">
        <v>39</v>
      </c>
      <c r="H43" s="34">
        <v>39</v>
      </c>
      <c r="I43" s="35">
        <v>61</v>
      </c>
      <c r="N43" s="33">
        <v>38</v>
      </c>
      <c r="O43" s="42">
        <v>54.5</v>
      </c>
      <c r="P43" s="35">
        <f t="shared" si="0"/>
        <v>45.5</v>
      </c>
    </row>
    <row r="44" spans="1:16" ht="15.75" thickBot="1" x14ac:dyDescent="0.3">
      <c r="G44" s="33">
        <v>40</v>
      </c>
      <c r="H44" s="34">
        <v>40</v>
      </c>
      <c r="I44" s="35">
        <v>60</v>
      </c>
      <c r="N44" s="33">
        <v>39</v>
      </c>
      <c r="O44" s="42">
        <v>56</v>
      </c>
      <c r="P44" s="35">
        <f t="shared" si="0"/>
        <v>44</v>
      </c>
    </row>
    <row r="45" spans="1:16" ht="15.75" thickBot="1" x14ac:dyDescent="0.3">
      <c r="G45" s="33">
        <v>41</v>
      </c>
      <c r="H45" s="34">
        <v>41</v>
      </c>
      <c r="I45" s="35">
        <v>59</v>
      </c>
      <c r="N45" s="33">
        <v>40</v>
      </c>
      <c r="O45" s="42">
        <v>57.5</v>
      </c>
      <c r="P45" s="35">
        <f t="shared" si="0"/>
        <v>42.5</v>
      </c>
    </row>
    <row r="46" spans="1:16" ht="15.75" thickBot="1" x14ac:dyDescent="0.3">
      <c r="G46" s="33">
        <v>42</v>
      </c>
      <c r="H46" s="34">
        <v>42</v>
      </c>
      <c r="I46" s="35">
        <v>58</v>
      </c>
      <c r="N46" s="33">
        <v>41</v>
      </c>
      <c r="O46" s="42">
        <v>59</v>
      </c>
      <c r="P46" s="35">
        <f t="shared" si="0"/>
        <v>41</v>
      </c>
    </row>
    <row r="47" spans="1:16" ht="15.75" thickBot="1" x14ac:dyDescent="0.3">
      <c r="G47" s="33">
        <v>43</v>
      </c>
      <c r="H47" s="34">
        <v>43</v>
      </c>
      <c r="I47" s="35">
        <v>57</v>
      </c>
      <c r="N47" s="33">
        <v>42</v>
      </c>
      <c r="O47" s="42">
        <v>60.5</v>
      </c>
      <c r="P47" s="35">
        <f t="shared" si="0"/>
        <v>39.5</v>
      </c>
    </row>
    <row r="48" spans="1:16" ht="15.75" thickBot="1" x14ac:dyDescent="0.3">
      <c r="G48" s="33">
        <v>44</v>
      </c>
      <c r="H48" s="34">
        <v>44</v>
      </c>
      <c r="I48" s="35">
        <v>56</v>
      </c>
      <c r="N48" s="33">
        <v>43</v>
      </c>
      <c r="O48" s="42">
        <v>62</v>
      </c>
      <c r="P48" s="35">
        <f t="shared" si="0"/>
        <v>38</v>
      </c>
    </row>
    <row r="49" spans="7:16" ht="15.75" thickBot="1" x14ac:dyDescent="0.3">
      <c r="G49" s="33">
        <v>45</v>
      </c>
      <c r="H49" s="34">
        <v>45</v>
      </c>
      <c r="I49" s="35">
        <v>55</v>
      </c>
      <c r="N49" s="33">
        <v>44</v>
      </c>
      <c r="O49" s="42">
        <v>63.5</v>
      </c>
      <c r="P49" s="35">
        <f t="shared" si="0"/>
        <v>36.5</v>
      </c>
    </row>
    <row r="50" spans="7:16" ht="15.75" thickBot="1" x14ac:dyDescent="0.3">
      <c r="G50" s="33">
        <v>46</v>
      </c>
      <c r="H50" s="34">
        <v>46</v>
      </c>
      <c r="I50" s="35">
        <v>54</v>
      </c>
      <c r="N50" s="33">
        <v>45</v>
      </c>
      <c r="O50" s="42">
        <v>65</v>
      </c>
      <c r="P50" s="35">
        <f t="shared" si="0"/>
        <v>35</v>
      </c>
    </row>
    <row r="51" spans="7:16" ht="15.75" thickBot="1" x14ac:dyDescent="0.3">
      <c r="G51" s="33">
        <v>47</v>
      </c>
      <c r="H51" s="34">
        <v>47</v>
      </c>
      <c r="I51" s="35">
        <v>53</v>
      </c>
      <c r="N51" s="33">
        <v>46</v>
      </c>
      <c r="O51" s="42">
        <v>66.5</v>
      </c>
      <c r="P51" s="35">
        <f t="shared" si="0"/>
        <v>33.5</v>
      </c>
    </row>
    <row r="52" spans="7:16" ht="15.75" thickBot="1" x14ac:dyDescent="0.3">
      <c r="G52" s="33">
        <v>48</v>
      </c>
      <c r="H52" s="34">
        <v>48</v>
      </c>
      <c r="I52" s="35">
        <v>52</v>
      </c>
      <c r="N52" s="33">
        <v>47</v>
      </c>
      <c r="O52" s="42">
        <v>68</v>
      </c>
      <c r="P52" s="35">
        <f t="shared" si="0"/>
        <v>32</v>
      </c>
    </row>
    <row r="53" spans="7:16" ht="15.75" thickBot="1" x14ac:dyDescent="0.3">
      <c r="G53" s="33">
        <v>49</v>
      </c>
      <c r="H53" s="34">
        <v>49</v>
      </c>
      <c r="I53" s="35">
        <v>51</v>
      </c>
      <c r="N53" s="33">
        <v>48</v>
      </c>
      <c r="O53" s="42">
        <v>69.5</v>
      </c>
      <c r="P53" s="35">
        <f t="shared" si="0"/>
        <v>30.5</v>
      </c>
    </row>
    <row r="54" spans="7:16" ht="15.75" thickBot="1" x14ac:dyDescent="0.3">
      <c r="G54" s="33">
        <v>50</v>
      </c>
      <c r="H54" s="34">
        <v>50</v>
      </c>
      <c r="I54" s="35">
        <v>50</v>
      </c>
      <c r="N54" s="33">
        <v>49</v>
      </c>
      <c r="O54" s="42">
        <v>71</v>
      </c>
      <c r="P54" s="35">
        <f t="shared" si="0"/>
        <v>29</v>
      </c>
    </row>
    <row r="55" spans="7:16" ht="15.75" thickBot="1" x14ac:dyDescent="0.3">
      <c r="G55" s="33">
        <v>51</v>
      </c>
      <c r="H55" s="34">
        <v>51</v>
      </c>
      <c r="I55" s="35">
        <v>49</v>
      </c>
      <c r="N55" s="33">
        <v>50</v>
      </c>
      <c r="O55" s="42">
        <v>72.5</v>
      </c>
      <c r="P55" s="35">
        <f t="shared" si="0"/>
        <v>27.5</v>
      </c>
    </row>
    <row r="56" spans="7:16" ht="15.75" thickBot="1" x14ac:dyDescent="0.3">
      <c r="G56" s="33">
        <v>52</v>
      </c>
      <c r="H56" s="34">
        <v>52</v>
      </c>
      <c r="I56" s="35">
        <v>48</v>
      </c>
      <c r="N56" s="33">
        <v>51</v>
      </c>
      <c r="O56" s="42">
        <v>74</v>
      </c>
      <c r="P56" s="35">
        <f t="shared" si="0"/>
        <v>26</v>
      </c>
    </row>
    <row r="57" spans="7:16" ht="15.75" thickBot="1" x14ac:dyDescent="0.3">
      <c r="G57" s="33">
        <v>53</v>
      </c>
      <c r="H57" s="34">
        <v>53</v>
      </c>
      <c r="I57" s="35">
        <v>47</v>
      </c>
      <c r="N57" s="33">
        <v>52</v>
      </c>
      <c r="O57" s="42">
        <v>75.5</v>
      </c>
      <c r="P57" s="35">
        <f t="shared" si="0"/>
        <v>24.5</v>
      </c>
    </row>
    <row r="58" spans="7:16" ht="15.75" thickBot="1" x14ac:dyDescent="0.3">
      <c r="G58" s="33">
        <v>54</v>
      </c>
      <c r="H58" s="34">
        <v>54</v>
      </c>
      <c r="I58" s="35">
        <v>46</v>
      </c>
      <c r="N58" s="33">
        <v>53</v>
      </c>
      <c r="O58" s="42">
        <v>77</v>
      </c>
      <c r="P58" s="35">
        <f t="shared" si="0"/>
        <v>23</v>
      </c>
    </row>
    <row r="59" spans="7:16" ht="15.75" thickBot="1" x14ac:dyDescent="0.3">
      <c r="G59" s="33">
        <v>55</v>
      </c>
      <c r="H59" s="34">
        <v>55</v>
      </c>
      <c r="I59" s="35">
        <v>45</v>
      </c>
      <c r="N59" s="33">
        <v>54</v>
      </c>
      <c r="O59" s="42">
        <v>78.5</v>
      </c>
      <c r="P59" s="35">
        <f t="shared" si="0"/>
        <v>21.5</v>
      </c>
    </row>
    <row r="60" spans="7:16" ht="15.75" thickBot="1" x14ac:dyDescent="0.3">
      <c r="G60" s="33">
        <v>56</v>
      </c>
      <c r="H60" s="34">
        <v>56</v>
      </c>
      <c r="I60" s="35">
        <v>44</v>
      </c>
      <c r="N60" s="33">
        <v>55</v>
      </c>
      <c r="O60" s="42">
        <v>80</v>
      </c>
      <c r="P60" s="35">
        <f t="shared" si="0"/>
        <v>20</v>
      </c>
    </row>
    <row r="61" spans="7:16" ht="15.75" thickBot="1" x14ac:dyDescent="0.3">
      <c r="G61" s="33">
        <v>57</v>
      </c>
      <c r="H61" s="34">
        <v>57</v>
      </c>
      <c r="I61" s="35">
        <v>43</v>
      </c>
      <c r="N61" s="33">
        <v>56</v>
      </c>
      <c r="O61" s="42">
        <v>81.5</v>
      </c>
      <c r="P61" s="35">
        <f t="shared" si="0"/>
        <v>18.5</v>
      </c>
    </row>
    <row r="62" spans="7:16" ht="15.75" thickBot="1" x14ac:dyDescent="0.3">
      <c r="G62" s="33">
        <v>58</v>
      </c>
      <c r="H62" s="34">
        <v>58</v>
      </c>
      <c r="I62" s="35">
        <v>42</v>
      </c>
      <c r="N62" s="33">
        <v>57</v>
      </c>
      <c r="O62" s="42">
        <v>83</v>
      </c>
      <c r="P62" s="35">
        <f t="shared" si="0"/>
        <v>17</v>
      </c>
    </row>
    <row r="63" spans="7:16" ht="15.75" thickBot="1" x14ac:dyDescent="0.3">
      <c r="G63" s="33">
        <v>59</v>
      </c>
      <c r="H63" s="34">
        <v>59</v>
      </c>
      <c r="I63" s="35">
        <v>41</v>
      </c>
      <c r="N63" s="33">
        <v>58</v>
      </c>
      <c r="O63" s="42">
        <v>84.5</v>
      </c>
      <c r="P63" s="35">
        <f t="shared" si="0"/>
        <v>15.5</v>
      </c>
    </row>
    <row r="64" spans="7:16" ht="15.75" thickBot="1" x14ac:dyDescent="0.3">
      <c r="G64" s="33">
        <v>60</v>
      </c>
      <c r="H64" s="34">
        <v>60</v>
      </c>
      <c r="I64" s="35">
        <v>40</v>
      </c>
      <c r="N64" s="33">
        <v>59</v>
      </c>
      <c r="O64" s="42">
        <v>85</v>
      </c>
      <c r="P64" s="56">
        <f t="shared" si="0"/>
        <v>14</v>
      </c>
    </row>
    <row r="65" spans="7:15" ht="15.75" thickBot="1" x14ac:dyDescent="0.3">
      <c r="G65" s="33">
        <v>61</v>
      </c>
      <c r="H65" s="34">
        <v>61</v>
      </c>
      <c r="I65" s="35">
        <v>39</v>
      </c>
      <c r="N65" s="33">
        <v>60</v>
      </c>
    </row>
    <row r="66" spans="7:15" ht="15.75" thickBot="1" x14ac:dyDescent="0.3">
      <c r="G66" s="33">
        <v>62</v>
      </c>
      <c r="H66" s="34">
        <v>62</v>
      </c>
      <c r="I66" s="35">
        <v>38</v>
      </c>
      <c r="N66" s="33">
        <v>61</v>
      </c>
      <c r="O66" s="65"/>
    </row>
    <row r="67" spans="7:15" ht="15.75" thickBot="1" x14ac:dyDescent="0.3">
      <c r="G67" s="33">
        <v>63</v>
      </c>
      <c r="H67" s="34">
        <v>63</v>
      </c>
      <c r="I67" s="35">
        <v>37</v>
      </c>
      <c r="N67" s="33">
        <v>62</v>
      </c>
      <c r="O67" s="65"/>
    </row>
    <row r="68" spans="7:15" ht="15.75" thickBot="1" x14ac:dyDescent="0.3">
      <c r="G68" s="33">
        <v>64</v>
      </c>
      <c r="H68" s="34">
        <v>64</v>
      </c>
      <c r="I68" s="35">
        <v>36</v>
      </c>
      <c r="N68" s="33">
        <v>63</v>
      </c>
      <c r="O68" s="65"/>
    </row>
    <row r="69" spans="7:15" ht="15.75" thickBot="1" x14ac:dyDescent="0.3">
      <c r="G69" s="33">
        <v>65</v>
      </c>
      <c r="H69" s="34">
        <v>65</v>
      </c>
      <c r="I69" s="35">
        <v>35</v>
      </c>
      <c r="N69" s="33">
        <v>64</v>
      </c>
      <c r="O69" s="65"/>
    </row>
    <row r="70" spans="7:15" ht="15.75" thickBot="1" x14ac:dyDescent="0.3">
      <c r="G70" s="33">
        <v>66</v>
      </c>
      <c r="H70" s="34">
        <v>66</v>
      </c>
      <c r="I70" s="35">
        <v>34</v>
      </c>
      <c r="N70" s="33">
        <v>65</v>
      </c>
      <c r="O70" s="65"/>
    </row>
    <row r="71" spans="7:15" ht="15.75" thickBot="1" x14ac:dyDescent="0.3">
      <c r="G71" s="33">
        <v>67</v>
      </c>
      <c r="H71" s="34">
        <v>67</v>
      </c>
      <c r="I71" s="35">
        <v>33</v>
      </c>
      <c r="N71" s="33">
        <v>66</v>
      </c>
      <c r="O71" s="65"/>
    </row>
    <row r="72" spans="7:15" ht="15.75" thickBot="1" x14ac:dyDescent="0.3">
      <c r="G72" s="33">
        <v>68</v>
      </c>
      <c r="H72" s="34">
        <v>68</v>
      </c>
      <c r="I72" s="35">
        <v>32</v>
      </c>
      <c r="N72" s="33">
        <v>67</v>
      </c>
      <c r="O72" s="65"/>
    </row>
    <row r="73" spans="7:15" ht="15.75" thickBot="1" x14ac:dyDescent="0.3">
      <c r="G73" s="33">
        <v>69</v>
      </c>
      <c r="H73" s="34">
        <v>69</v>
      </c>
      <c r="I73" s="35">
        <v>31</v>
      </c>
      <c r="N73" s="33">
        <v>68</v>
      </c>
      <c r="O73" s="65"/>
    </row>
    <row r="74" spans="7:15" ht="15.75" thickBot="1" x14ac:dyDescent="0.3">
      <c r="G74" s="33">
        <v>70</v>
      </c>
      <c r="H74" s="34">
        <v>70</v>
      </c>
      <c r="I74" s="56">
        <v>30</v>
      </c>
      <c r="N74" s="33">
        <v>69</v>
      </c>
      <c r="O74" s="65"/>
    </row>
    <row r="75" spans="7:15" ht="15.75" thickBot="1" x14ac:dyDescent="0.3">
      <c r="I75" s="67"/>
      <c r="N75" s="33">
        <v>70</v>
      </c>
      <c r="O75" s="65"/>
    </row>
    <row r="76" spans="7:15" ht="15.75" thickBot="1" x14ac:dyDescent="0.3">
      <c r="N76" s="33"/>
      <c r="O76" s="65"/>
    </row>
  </sheetData>
  <mergeCells count="2">
    <mergeCell ref="G2:H2"/>
    <mergeCell ref="B2: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D7067-6F3C-461F-B4EB-C77082F939BE}">
  <dimension ref="A1"/>
  <sheetViews>
    <sheetView topLeftCell="A1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17616-47A9-4021-A60B-42755359E184}">
  <dimension ref="A1:J18"/>
  <sheetViews>
    <sheetView workbookViewId="0">
      <selection activeCell="J20" sqref="J20"/>
    </sheetView>
  </sheetViews>
  <sheetFormatPr defaultRowHeight="15" x14ac:dyDescent="0.25"/>
  <cols>
    <col min="1" max="1" width="3.28515625" bestFit="1" customWidth="1"/>
    <col min="2" max="2" width="10.85546875" bestFit="1" customWidth="1"/>
    <col min="3" max="3" width="12.5703125" bestFit="1" customWidth="1"/>
    <col min="4" max="4" width="13.42578125" bestFit="1" customWidth="1"/>
    <col min="5" max="6" width="21.140625" bestFit="1" customWidth="1"/>
    <col min="7" max="7" width="21.140625" customWidth="1"/>
    <col min="8" max="8" width="17.85546875" bestFit="1" customWidth="1"/>
    <col min="9" max="9" width="16" bestFit="1" customWidth="1"/>
    <col min="10" max="10" width="22" bestFit="1" customWidth="1"/>
  </cols>
  <sheetData>
    <row r="1" spans="1:10" x14ac:dyDescent="0.25">
      <c r="A1" s="53" t="s">
        <v>47</v>
      </c>
      <c r="B1" s="53" t="s">
        <v>50</v>
      </c>
      <c r="C1" s="53" t="s">
        <v>51</v>
      </c>
      <c r="D1" s="53" t="s">
        <v>69</v>
      </c>
      <c r="E1" s="53" t="s">
        <v>49</v>
      </c>
      <c r="F1" s="53" t="s">
        <v>48</v>
      </c>
      <c r="G1" s="53" t="s">
        <v>57</v>
      </c>
      <c r="H1" s="53" t="s">
        <v>52</v>
      </c>
      <c r="I1" s="53" t="s">
        <v>53</v>
      </c>
      <c r="J1" s="53" t="s">
        <v>92</v>
      </c>
    </row>
    <row r="2" spans="1:10" x14ac:dyDescent="0.25">
      <c r="A2" s="63">
        <v>1</v>
      </c>
      <c r="B2" s="63" t="s">
        <v>54</v>
      </c>
      <c r="C2" s="68">
        <v>45335</v>
      </c>
      <c r="D2" s="63" t="s">
        <v>70</v>
      </c>
      <c r="E2" s="69">
        <v>106.41</v>
      </c>
      <c r="F2" s="69">
        <f>E2*10.764</f>
        <v>1145.3972399999998</v>
      </c>
      <c r="G2" s="69">
        <f>F2/1.33</f>
        <v>861.20093233082684</v>
      </c>
      <c r="H2" s="69">
        <v>44300000</v>
      </c>
      <c r="I2" s="69">
        <f>H2/F2</f>
        <v>38676.538106552456</v>
      </c>
      <c r="J2" s="69">
        <f>H2/G2</f>
        <v>51439.795681714771</v>
      </c>
    </row>
    <row r="3" spans="1:10" x14ac:dyDescent="0.25">
      <c r="A3" s="63">
        <v>2</v>
      </c>
      <c r="B3" s="63" t="s">
        <v>72</v>
      </c>
      <c r="C3" s="68">
        <v>45335</v>
      </c>
      <c r="D3" s="63" t="s">
        <v>71</v>
      </c>
      <c r="E3" s="69">
        <v>57.16</v>
      </c>
      <c r="F3" s="69">
        <f>E3*10.764</f>
        <v>615.27023999999994</v>
      </c>
      <c r="G3" s="69">
        <f t="shared" ref="G3:G5" si="0">F3/1.33</f>
        <v>462.60920300751872</v>
      </c>
      <c r="H3" s="69">
        <v>24000000</v>
      </c>
      <c r="I3" s="69">
        <f>H3/F3</f>
        <v>39007.249887464088</v>
      </c>
      <c r="J3" s="69">
        <f t="shared" ref="J3:J5" si="1">H3/G3</f>
        <v>51879.642350327238</v>
      </c>
    </row>
    <row r="4" spans="1:10" x14ac:dyDescent="0.25">
      <c r="A4" s="63">
        <v>3</v>
      </c>
      <c r="B4" s="63" t="s">
        <v>73</v>
      </c>
      <c r="C4" s="68">
        <v>45335</v>
      </c>
      <c r="D4" s="63" t="s">
        <v>74</v>
      </c>
      <c r="E4" s="69">
        <v>113.85</v>
      </c>
      <c r="F4" s="69">
        <f>E4*10.764</f>
        <v>1225.4813999999999</v>
      </c>
      <c r="G4" s="69">
        <f t="shared" si="0"/>
        <v>921.41458646616525</v>
      </c>
      <c r="H4" s="69">
        <v>47400000</v>
      </c>
      <c r="I4" s="69">
        <f>H4/F4</f>
        <v>38678.677620076487</v>
      </c>
      <c r="J4" s="69">
        <f t="shared" si="1"/>
        <v>51442.641234701732</v>
      </c>
    </row>
    <row r="5" spans="1:10" x14ac:dyDescent="0.25">
      <c r="A5" s="63">
        <v>4</v>
      </c>
      <c r="B5" s="63" t="s">
        <v>75</v>
      </c>
      <c r="C5" s="68">
        <v>45335</v>
      </c>
      <c r="D5" s="63" t="s">
        <v>76</v>
      </c>
      <c r="E5" s="69">
        <v>112.45</v>
      </c>
      <c r="F5" s="69">
        <f>E5*10.764</f>
        <v>1210.4117999999999</v>
      </c>
      <c r="G5" s="69">
        <f t="shared" si="0"/>
        <v>910.08406015037576</v>
      </c>
      <c r="H5" s="69">
        <v>46800000</v>
      </c>
      <c r="I5" s="69">
        <f>H5/F5</f>
        <v>38664.527229493309</v>
      </c>
      <c r="J5" s="69">
        <f t="shared" si="1"/>
        <v>51423.821215226104</v>
      </c>
    </row>
    <row r="6" spans="1:10" x14ac:dyDescent="0.25">
      <c r="E6" s="22"/>
      <c r="F6" s="22"/>
      <c r="G6" s="22"/>
      <c r="H6" s="22"/>
      <c r="I6" s="22"/>
    </row>
    <row r="7" spans="1:10" x14ac:dyDescent="0.25">
      <c r="E7" s="22"/>
      <c r="F7" s="22"/>
      <c r="G7" s="22"/>
      <c r="H7" s="22"/>
      <c r="I7" s="22"/>
    </row>
    <row r="8" spans="1:10" x14ac:dyDescent="0.25">
      <c r="C8" s="70"/>
    </row>
    <row r="9" spans="1:10" x14ac:dyDescent="0.25">
      <c r="C9" s="55"/>
    </row>
    <row r="10" spans="1:10" x14ac:dyDescent="0.25">
      <c r="A10" s="77" t="s">
        <v>47</v>
      </c>
      <c r="B10" s="77" t="s">
        <v>29</v>
      </c>
      <c r="C10" s="78" t="s">
        <v>57</v>
      </c>
      <c r="D10" s="79"/>
      <c r="E10" s="77" t="s">
        <v>48</v>
      </c>
      <c r="F10" s="77" t="s">
        <v>77</v>
      </c>
      <c r="G10" s="77"/>
      <c r="H10" s="77" t="s">
        <v>78</v>
      </c>
      <c r="I10" s="77" t="s">
        <v>53</v>
      </c>
      <c r="J10" s="53" t="s">
        <v>92</v>
      </c>
    </row>
    <row r="11" spans="1:10" x14ac:dyDescent="0.25">
      <c r="A11" s="63">
        <v>1</v>
      </c>
      <c r="B11" s="63"/>
      <c r="C11" s="80">
        <f>E11/1.33</f>
        <v>3383.458646616541</v>
      </c>
      <c r="D11" s="81"/>
      <c r="E11" s="69">
        <v>4500</v>
      </c>
      <c r="F11" s="69">
        <v>0</v>
      </c>
      <c r="G11" s="69"/>
      <c r="H11" s="69">
        <v>200700000</v>
      </c>
      <c r="I11" s="69">
        <f>H11/E11</f>
        <v>44600</v>
      </c>
      <c r="J11" s="69">
        <f>H11/C11</f>
        <v>59318.000000000007</v>
      </c>
    </row>
    <row r="12" spans="1:10" x14ac:dyDescent="0.25">
      <c r="A12" s="63">
        <v>2</v>
      </c>
      <c r="B12" s="63" t="s">
        <v>79</v>
      </c>
      <c r="C12" s="80">
        <f>F12/1.33</f>
        <v>3157.894736842105</v>
      </c>
      <c r="D12" s="81"/>
      <c r="E12" s="69">
        <v>0</v>
      </c>
      <c r="F12" s="69">
        <v>4200</v>
      </c>
      <c r="G12" s="69"/>
      <c r="H12" s="69">
        <v>190000000</v>
      </c>
      <c r="I12" s="69">
        <f>H12/F12</f>
        <v>45238.095238095237</v>
      </c>
      <c r="J12" s="69">
        <f t="shared" ref="J12:J18" si="2">H12/C12</f>
        <v>60166.666666666672</v>
      </c>
    </row>
    <row r="13" spans="1:10" x14ac:dyDescent="0.25">
      <c r="A13" s="63">
        <v>3</v>
      </c>
      <c r="B13" s="63" t="s">
        <v>80</v>
      </c>
      <c r="C13" s="80">
        <f>F13/1.33</f>
        <v>3157.894736842105</v>
      </c>
      <c r="D13" s="81"/>
      <c r="E13" s="69">
        <v>0</v>
      </c>
      <c r="F13" s="69">
        <v>4200</v>
      </c>
      <c r="G13" s="69"/>
      <c r="H13" s="69">
        <v>180000000</v>
      </c>
      <c r="I13" s="69">
        <f>H13/F13</f>
        <v>42857.142857142855</v>
      </c>
      <c r="J13" s="69">
        <f t="shared" si="2"/>
        <v>57000.000000000007</v>
      </c>
    </row>
    <row r="14" spans="1:10" x14ac:dyDescent="0.25">
      <c r="A14" s="63">
        <v>4</v>
      </c>
      <c r="B14" s="63" t="s">
        <v>81</v>
      </c>
      <c r="C14" s="80">
        <f>F14/1.33</f>
        <v>3157.894736842105</v>
      </c>
      <c r="D14" s="81"/>
      <c r="E14" s="69">
        <v>0</v>
      </c>
      <c r="F14" s="69">
        <v>4200</v>
      </c>
      <c r="G14" s="69"/>
      <c r="H14" s="69">
        <v>200000000</v>
      </c>
      <c r="I14" s="69">
        <f>H14/F14</f>
        <v>47619.047619047618</v>
      </c>
      <c r="J14" s="69">
        <f t="shared" si="2"/>
        <v>63333.333333333336</v>
      </c>
    </row>
    <row r="15" spans="1:10" x14ac:dyDescent="0.25">
      <c r="A15" s="63">
        <v>5</v>
      </c>
      <c r="B15" s="63" t="s">
        <v>82</v>
      </c>
      <c r="C15" s="80">
        <v>3030</v>
      </c>
      <c r="D15" s="81"/>
      <c r="E15" s="69">
        <v>4545</v>
      </c>
      <c r="F15" s="69">
        <v>4848</v>
      </c>
      <c r="G15" s="69"/>
      <c r="H15" s="69">
        <v>180000000</v>
      </c>
      <c r="I15" s="69">
        <f>H15/F15</f>
        <v>37128.712871287127</v>
      </c>
      <c r="J15" s="69">
        <f t="shared" si="2"/>
        <v>59405.940594059408</v>
      </c>
    </row>
    <row r="16" spans="1:10" x14ac:dyDescent="0.25">
      <c r="A16" s="63">
        <v>6</v>
      </c>
      <c r="B16" s="63" t="s">
        <v>83</v>
      </c>
      <c r="C16" s="80">
        <v>3500</v>
      </c>
      <c r="D16" s="81"/>
      <c r="E16" s="69">
        <v>0</v>
      </c>
      <c r="F16" s="69">
        <f>C16*1.33</f>
        <v>4655</v>
      </c>
      <c r="G16" s="69"/>
      <c r="H16" s="69">
        <v>198000000</v>
      </c>
      <c r="I16" s="69">
        <f>H16/F16</f>
        <v>42534.908700322238</v>
      </c>
      <c r="J16" s="69">
        <f t="shared" si="2"/>
        <v>56571.428571428572</v>
      </c>
    </row>
    <row r="17" spans="1:10" x14ac:dyDescent="0.25">
      <c r="A17" s="63">
        <v>7</v>
      </c>
      <c r="B17" s="63" t="s">
        <v>84</v>
      </c>
      <c r="C17" s="80">
        <v>3700</v>
      </c>
      <c r="D17" s="81"/>
      <c r="E17" s="69">
        <v>0</v>
      </c>
      <c r="F17" s="69">
        <f>C17*1.33</f>
        <v>4921</v>
      </c>
      <c r="G17" s="69"/>
      <c r="H17" s="69">
        <v>170000000</v>
      </c>
      <c r="I17" s="69">
        <f>H17/F17</f>
        <v>34545.824019508233</v>
      </c>
      <c r="J17" s="69">
        <f t="shared" si="2"/>
        <v>45945.945945945947</v>
      </c>
    </row>
    <row r="18" spans="1:10" x14ac:dyDescent="0.25">
      <c r="A18" s="63">
        <v>8</v>
      </c>
      <c r="B18" s="63" t="s">
        <v>85</v>
      </c>
      <c r="C18" s="80">
        <v>4250</v>
      </c>
      <c r="D18" s="81"/>
      <c r="E18" s="69">
        <v>0</v>
      </c>
      <c r="F18" s="69">
        <f>C18*1.33</f>
        <v>5652.5</v>
      </c>
      <c r="G18" s="69"/>
      <c r="H18" s="69">
        <v>200000000</v>
      </c>
      <c r="I18" s="69">
        <f>H18/F18</f>
        <v>35382.574082264488</v>
      </c>
      <c r="J18" s="69">
        <f t="shared" si="2"/>
        <v>47058.823529411762</v>
      </c>
    </row>
  </sheetData>
  <mergeCells count="9">
    <mergeCell ref="C16:D16"/>
    <mergeCell ref="C17:D17"/>
    <mergeCell ref="C18:D18"/>
    <mergeCell ref="C10:D10"/>
    <mergeCell ref="C11:D11"/>
    <mergeCell ref="C12:D12"/>
    <mergeCell ref="C13:D13"/>
    <mergeCell ref="C14:D14"/>
    <mergeCell ref="C15:D1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4D1FB-47DB-4B2C-A88C-897C96B7E464}">
  <dimension ref="A1"/>
  <sheetViews>
    <sheetView workbookViewId="0">
      <selection activeCell="M26" sqref="M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00A77-06C2-40D7-A126-B5D5E5C73F7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0F07F-C2E7-449E-BC24-0CA439D0FC48}">
  <dimension ref="A1"/>
  <sheetViews>
    <sheetView workbookViewId="0">
      <selection activeCell="M31" sqref="M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ED771-EAB9-461C-B513-456B71B6A815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8A59F-C569-4D9B-9B3A-07702F6CD51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Calculation</vt:lpstr>
      <vt:lpstr>Depreciation (2)</vt:lpstr>
      <vt:lpstr>RR</vt:lpstr>
      <vt:lpstr>SI and PI Summary Working</vt:lpstr>
      <vt:lpstr>3221</vt:lpstr>
      <vt:lpstr>3226</vt:lpstr>
      <vt:lpstr>3220</vt:lpstr>
      <vt:lpstr>3225</vt:lpstr>
      <vt:lpstr>Sheet6</vt:lpstr>
      <vt:lpstr>Sheet1</vt:lpstr>
      <vt:lpstr>Sheet2</vt:lpstr>
      <vt:lpstr>Sheet3</vt:lpstr>
      <vt:lpstr>Sheet4</vt:lpstr>
      <vt:lpstr>Sheet5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2024-09-13T07:49:57Z</dcterms:modified>
</cp:coreProperties>
</file>