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Shree Ramakrishn Enterprises\11. Project approval documents\SBI bank\"/>
    </mc:Choice>
  </mc:AlternateContent>
  <xr:revisionPtr revIDLastSave="0" documentId="13_ncr:1_{77177785-D2AF-400A-8E2A-A7945B54D465}" xr6:coauthVersionLast="47" xr6:coauthVersionMax="47" xr10:uidLastSave="{00000000-0000-0000-0000-000000000000}"/>
  <bookViews>
    <workbookView xWindow="-108" yWindow="-108" windowWidth="23256" windowHeight="12456" tabRatio="809" activeTab="1" xr2:uid="{00000000-000D-0000-FFFF-FFFF00000000}"/>
  </bookViews>
  <sheets>
    <sheet name="Ghatkopar project budget" sheetId="16" r:id="rId1"/>
    <sheet name="2. CF Working final" sheetId="20" r:id="rId2"/>
  </sheets>
  <externalReferences>
    <externalReference r:id="rId3"/>
  </externalReferences>
  <definedNames>
    <definedName name="_xlnm.Print_Area" localSheetId="1">'2. CF Working final'!$A$1:$O$39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0" l="1"/>
  <c r="M31" i="20"/>
  <c r="M30" i="20"/>
  <c r="M29" i="20"/>
  <c r="M28" i="20"/>
  <c r="M27" i="20"/>
  <c r="L30" i="20"/>
  <c r="L28" i="20"/>
  <c r="K30" i="20"/>
  <c r="K28" i="20"/>
  <c r="J30" i="20"/>
  <c r="J28" i="20"/>
  <c r="I32" i="20"/>
  <c r="I28" i="20"/>
  <c r="H30" i="20"/>
  <c r="H28" i="20"/>
  <c r="E24" i="20"/>
  <c r="E23" i="20"/>
  <c r="D34" i="20"/>
  <c r="D24" i="20"/>
  <c r="D23" i="20"/>
  <c r="C33" i="20"/>
  <c r="C32" i="20"/>
  <c r="C31" i="20"/>
  <c r="C30" i="20"/>
  <c r="C29" i="20"/>
  <c r="C28" i="20"/>
  <c r="C27" i="20"/>
  <c r="C24" i="20"/>
  <c r="C23" i="20"/>
  <c r="M16" i="20"/>
  <c r="M15" i="20"/>
  <c r="M14" i="20"/>
  <c r="M11" i="20"/>
  <c r="M10" i="20"/>
  <c r="M9" i="20"/>
  <c r="L15" i="20"/>
  <c r="L12" i="20"/>
  <c r="K14" i="20"/>
  <c r="K12" i="20"/>
  <c r="K11" i="20"/>
  <c r="J15" i="20"/>
  <c r="J13" i="20"/>
  <c r="I11" i="20"/>
  <c r="I10" i="20"/>
  <c r="H12" i="20"/>
  <c r="H11" i="20"/>
  <c r="H10" i="20"/>
  <c r="G11" i="20"/>
  <c r="G10" i="20"/>
  <c r="F12" i="20"/>
  <c r="F11" i="20"/>
  <c r="F10" i="20"/>
  <c r="E12" i="20"/>
  <c r="E11" i="20"/>
  <c r="E10" i="20"/>
  <c r="D11" i="20"/>
  <c r="D10" i="20"/>
  <c r="C9" i="20"/>
  <c r="H51" i="16"/>
  <c r="H48" i="16"/>
  <c r="I44" i="16"/>
  <c r="I42" i="16"/>
  <c r="I40" i="16"/>
  <c r="I38" i="16"/>
  <c r="I36" i="16"/>
  <c r="I34" i="16"/>
  <c r="I32" i="16"/>
  <c r="I30" i="16"/>
  <c r="I26" i="16"/>
  <c r="I24" i="16"/>
  <c r="I22" i="16"/>
  <c r="I20" i="16"/>
  <c r="I18" i="16"/>
  <c r="I16" i="16"/>
  <c r="I14" i="16"/>
  <c r="I12" i="16"/>
  <c r="I10" i="16"/>
  <c r="I8" i="16"/>
  <c r="I6" i="16"/>
  <c r="H44" i="16"/>
  <c r="H42" i="16"/>
  <c r="H40" i="16"/>
  <c r="H38" i="16"/>
  <c r="H36" i="16"/>
  <c r="H34" i="16"/>
  <c r="H32" i="16"/>
  <c r="H30" i="16"/>
  <c r="H28" i="16"/>
  <c r="H26" i="16"/>
  <c r="H24" i="16"/>
  <c r="H22" i="16"/>
  <c r="H20" i="16"/>
  <c r="H18" i="16"/>
  <c r="H16" i="16"/>
  <c r="H14" i="16"/>
  <c r="H12" i="16"/>
  <c r="H10" i="16"/>
  <c r="H8" i="16"/>
  <c r="H6" i="16"/>
  <c r="I4" i="16"/>
  <c r="H4" i="16"/>
  <c r="I46" i="16" l="1"/>
  <c r="N15" i="20"/>
  <c r="O15" i="20" s="1"/>
  <c r="N31" i="20"/>
  <c r="N16" i="20"/>
  <c r="O16" i="20" s="1"/>
  <c r="N14" i="20"/>
  <c r="O14" i="20" s="1"/>
  <c r="N9" i="20"/>
  <c r="L18" i="20"/>
  <c r="K18" i="20"/>
  <c r="E18" i="20"/>
  <c r="D18" i="20"/>
  <c r="G44" i="16"/>
  <c r="G42" i="16"/>
  <c r="G40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H46" i="16"/>
  <c r="H49" i="16" s="1"/>
  <c r="I28" i="16"/>
  <c r="G8" i="16"/>
  <c r="G6" i="16"/>
  <c r="G4" i="16"/>
  <c r="N34" i="20"/>
  <c r="O34" i="20" s="1"/>
  <c r="B32" i="20"/>
  <c r="B31" i="20"/>
  <c r="B30" i="20"/>
  <c r="N29" i="20"/>
  <c r="B29" i="20"/>
  <c r="B28" i="20"/>
  <c r="B27" i="20"/>
  <c r="B26" i="20"/>
  <c r="B25" i="20"/>
  <c r="B24" i="20"/>
  <c r="B23" i="20"/>
  <c r="A23" i="20"/>
  <c r="A24" i="20" s="1"/>
  <c r="A25" i="20" s="1"/>
  <c r="A26" i="20" s="1"/>
  <c r="A27" i="20" s="1"/>
  <c r="A28" i="20" s="1"/>
  <c r="A29" i="20" s="1"/>
  <c r="A30" i="20" s="1"/>
  <c r="A31" i="20" s="1"/>
  <c r="A32" i="20" s="1"/>
  <c r="I18" i="20"/>
  <c r="H18" i="20"/>
  <c r="C18" i="20"/>
  <c r="C20" i="20" s="1"/>
  <c r="A10" i="20"/>
  <c r="A11" i="20" s="1"/>
  <c r="A12" i="20" s="1"/>
  <c r="A13" i="20" s="1"/>
  <c r="A14" i="20" s="1"/>
  <c r="A15" i="20" s="1"/>
  <c r="G46" i="16" l="1"/>
  <c r="H50" i="16"/>
  <c r="N33" i="20"/>
  <c r="O33" i="20" s="1"/>
  <c r="M36" i="20"/>
  <c r="N27" i="20"/>
  <c r="O27" i="20" s="1"/>
  <c r="L36" i="20"/>
  <c r="K36" i="20"/>
  <c r="J36" i="20"/>
  <c r="H36" i="20"/>
  <c r="N13" i="20"/>
  <c r="O13" i="20" s="1"/>
  <c r="N32" i="20"/>
  <c r="O32" i="20" s="1"/>
  <c r="N25" i="20"/>
  <c r="O25" i="20" s="1"/>
  <c r="G36" i="20"/>
  <c r="F36" i="20"/>
  <c r="F18" i="20"/>
  <c r="N24" i="20"/>
  <c r="O24" i="20" s="1"/>
  <c r="N30" i="20"/>
  <c r="O30" i="20" s="1"/>
  <c r="N28" i="20"/>
  <c r="O28" i="20" s="1"/>
  <c r="N10" i="20"/>
  <c r="O10" i="20" s="1"/>
  <c r="E36" i="20"/>
  <c r="N23" i="20"/>
  <c r="O23" i="20" s="1"/>
  <c r="O31" i="20"/>
  <c r="O29" i="20"/>
  <c r="O9" i="20"/>
  <c r="C36" i="20"/>
  <c r="C38" i="20" s="1"/>
  <c r="D6" i="20" s="1"/>
  <c r="D20" i="20" s="1"/>
  <c r="N11" i="20"/>
  <c r="O11" i="20" s="1"/>
  <c r="I36" i="20"/>
  <c r="D36" i="20"/>
  <c r="N26" i="20"/>
  <c r="O26" i="20" s="1"/>
  <c r="D38" i="20" l="1"/>
  <c r="E6" i="20" s="1"/>
  <c r="E20" i="20" s="1"/>
  <c r="E38" i="20" s="1"/>
  <c r="O36" i="20"/>
  <c r="N36" i="20"/>
  <c r="G18" i="20"/>
  <c r="F6" i="20" l="1"/>
  <c r="F20" i="20" s="1"/>
  <c r="F38" i="20" s="1"/>
  <c r="G6" i="20" s="1"/>
  <c r="G20" i="20" s="1"/>
  <c r="G38" i="20" s="1"/>
  <c r="H6" i="20" s="1"/>
  <c r="H20" i="20" s="1"/>
  <c r="H38" i="20" s="1"/>
  <c r="I6" i="20" s="1"/>
  <c r="I20" i="20" s="1"/>
  <c r="I38" i="20" s="1"/>
  <c r="J6" i="20" s="1"/>
  <c r="N6" i="20"/>
  <c r="J18" i="20"/>
  <c r="J20" i="20" l="1"/>
  <c r="J38" i="20" s="1"/>
  <c r="K6" i="20" s="1"/>
  <c r="K20" i="20" s="1"/>
  <c r="K38" i="20" s="1"/>
  <c r="L6" i="20" s="1"/>
  <c r="L20" i="20" s="1"/>
  <c r="L38" i="20" s="1"/>
  <c r="M6" i="20" s="1"/>
  <c r="M18" i="20"/>
  <c r="N12" i="20"/>
  <c r="M20" i="20" l="1"/>
  <c r="M38" i="20" s="1"/>
  <c r="O12" i="20"/>
  <c r="O18" i="20" s="1"/>
  <c r="N18" i="20"/>
  <c r="N20" i="20" s="1"/>
  <c r="O20" i="20" l="1"/>
  <c r="O38" i="20" s="1"/>
  <c r="J46" i="16" l="1"/>
  <c r="J44" i="16"/>
  <c r="J42" i="16"/>
  <c r="J40" i="16"/>
  <c r="J38" i="16"/>
  <c r="J36" i="16"/>
  <c r="J34" i="16"/>
  <c r="J32" i="16"/>
  <c r="J30" i="16"/>
  <c r="J28" i="16"/>
  <c r="J26" i="16"/>
  <c r="J24" i="16"/>
  <c r="J22" i="16"/>
  <c r="J20" i="16"/>
  <c r="J18" i="16"/>
  <c r="J16" i="16"/>
  <c r="J14" i="16"/>
  <c r="J12" i="16"/>
  <c r="J10" i="16"/>
  <c r="J8" i="16"/>
  <c r="J6" i="16"/>
  <c r="J4" i="16"/>
</calcChain>
</file>

<file path=xl/sharedStrings.xml><?xml version="1.0" encoding="utf-8"?>
<sst xmlns="http://schemas.openxmlformats.org/spreadsheetml/2006/main" count="103" uniqueCount="92">
  <si>
    <t>SHREE RAMKRISHN ENTERPRISES</t>
  </si>
  <si>
    <t>SR No.</t>
  </si>
  <si>
    <t>Annexures</t>
  </si>
  <si>
    <t>As per OLD Budget</t>
  </si>
  <si>
    <t>As per  Revised Budget</t>
  </si>
  <si>
    <t>Particulars</t>
  </si>
  <si>
    <t>Quantity</t>
  </si>
  <si>
    <t>Rate</t>
  </si>
  <si>
    <t>Rs. (in Cr)</t>
  </si>
  <si>
    <t>Total RCC-labour</t>
  </si>
  <si>
    <t xml:space="preserve">Total Finishing Cost                </t>
  </si>
  <si>
    <t>Cost of Nala</t>
  </si>
  <si>
    <t>Excavation</t>
  </si>
  <si>
    <t>BMC TDR (50%)</t>
  </si>
  <si>
    <t>Fungible FSI</t>
  </si>
  <si>
    <t>Premium Staircase / lift to BMC</t>
  </si>
  <si>
    <t>CHANGES IN MCGM PAYMENT</t>
  </si>
  <si>
    <t>Development Charges to BMC</t>
  </si>
  <si>
    <t>IOD Deposit</t>
  </si>
  <si>
    <t>Labour Welfare Cess</t>
  </si>
  <si>
    <t>TOTAL</t>
  </si>
  <si>
    <t>Corpus Fund</t>
  </si>
  <si>
    <t>Stamp Duty &amp; Registration Cost on DA</t>
  </si>
  <si>
    <t>Interest Cost</t>
  </si>
  <si>
    <t>Professional Fees</t>
  </si>
  <si>
    <t>Bank Gurantee</t>
  </si>
  <si>
    <t>Total Project Cost</t>
  </si>
  <si>
    <t>++ Before Income Tax -- Sale - Total Cost</t>
  </si>
  <si>
    <t>++</t>
  </si>
  <si>
    <t>Sale - Area</t>
  </si>
  <si>
    <t>Pest Control - for 2yrs</t>
  </si>
  <si>
    <t>Sanitary Officers</t>
  </si>
  <si>
    <t>CC revalidation</t>
  </si>
  <si>
    <t>Road Demarcation</t>
  </si>
  <si>
    <t>Admin cost</t>
  </si>
  <si>
    <t xml:space="preserve">Balance to be spent </t>
  </si>
  <si>
    <t>Enhanced FSI</t>
  </si>
  <si>
    <t>Total RCC-Material</t>
  </si>
  <si>
    <t>Market TDR (50%)</t>
  </si>
  <si>
    <t>Sr. no.</t>
  </si>
  <si>
    <t xml:space="preserve">Other BMC-IOD Cond </t>
  </si>
  <si>
    <t>Property Tax ( LUC)</t>
  </si>
  <si>
    <t>GST on Constrution &amp; DA</t>
  </si>
  <si>
    <t>Income Tax @ 35%</t>
  </si>
  <si>
    <t>Temp Accom, brokerage &amp; Transportation</t>
  </si>
  <si>
    <t>Sr. No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</si>
  <si>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</si>
  <si>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</si>
  <si>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</si>
  <si>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</si>
  <si>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</si>
  <si>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</si>
  <si>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</si>
  <si>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</si>
  <si>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EVENTS</t>
  </si>
  <si>
    <t>Finishing</t>
  </si>
  <si>
    <t>Possession</t>
  </si>
  <si>
    <t>Grand Total</t>
  </si>
  <si>
    <t>BMC - Segregating Distance Deficiency Premium</t>
  </si>
  <si>
    <t>CASHFLOW STATEMENT</t>
  </si>
  <si>
    <t>Total Exp. upto March-2023 (Plinth level)</t>
  </si>
  <si>
    <t>Month 1-2-3</t>
  </si>
  <si>
    <t>Total from  Feb-24 to Jan-25</t>
  </si>
  <si>
    <t>Stilt to slab 6</t>
  </si>
  <si>
    <t>Slab 7-9 Brickwork</t>
  </si>
  <si>
    <t>Slab 10 Brickwork</t>
  </si>
  <si>
    <t>Slab 11 Brickwork</t>
  </si>
  <si>
    <t>Ois Tank/Brickwork</t>
  </si>
  <si>
    <t>Opening Balance                                            (A)</t>
  </si>
  <si>
    <t>RECEIPTS:-                                                       (B)</t>
  </si>
  <si>
    <t>Promoters Contribution</t>
  </si>
  <si>
    <t>Kotak Mahindra Bank Fund Utilized / Repay</t>
  </si>
  <si>
    <t>TOTAL RECEIPTS ( A + B )</t>
  </si>
  <si>
    <t>TOTAL  ( A + B )</t>
  </si>
  <si>
    <t>LESS : PAYMENTS:-</t>
  </si>
  <si>
    <t xml:space="preserve">Advances given </t>
  </si>
  <si>
    <t>Startup Cost</t>
  </si>
  <si>
    <t>TOTAL PAYMENTS ( C )</t>
  </si>
  <si>
    <t>Total Cash Outflow  / Fund Available  (A+B-C)</t>
  </si>
  <si>
    <t>PROFIT</t>
  </si>
  <si>
    <t>As per Actual- as on July-23</t>
  </si>
  <si>
    <t>Apr 2023 to March 2024</t>
  </si>
  <si>
    <t>April-May 24</t>
  </si>
  <si>
    <t>Society Sales (10517 sq ft)</t>
  </si>
  <si>
    <t>Sale to outsiders -Phase 1 (682 sq ft)</t>
  </si>
  <si>
    <t>Sale to outsiders -Phase 3 (7619 sq ft)</t>
  </si>
  <si>
    <t>Sale to outsiders -Balance (23000 sq ft)</t>
  </si>
  <si>
    <t>Legal &amp; Develpoment ( Total 425/- x 48911 sq ft)</t>
  </si>
  <si>
    <t>Sale to outsiders -Phase 2 (7093 sq ft)</t>
  </si>
  <si>
    <t>ACTUAL FIGURES</t>
  </si>
  <si>
    <t>EXPECTED BUDGET</t>
  </si>
  <si>
    <t>Rs. (in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</si>
</sst>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* #,##0.00_);_(* \(#,##0.00\);_(* &quot;-&quot;??_);_(@_)"/>
    <numFmt numFmtId="165" formatCode="[$-409]mmmm\-yy;@"/>
    <numFmt numFmtId="166" formatCode="0.000"/>
    <numFmt numFmtId="167" formatCode="0.00_);\(0.00\)"/>
    <numFmt numFmtId="168" formatCode="0.0000"/>
    <numFmt numFmtId="169" formatCode="0.000000"/>
    <numFmt numFmtId="170" formatCode="_ * #,##0_ ;_ * \-#,##0_ ;_ * &quot;-&quot;??_ ;_ @_ "/>
    <numFmt numFmtId="171" formatCode="[$-409]mmm/yy;@"/>
    <numFmt numFmtId="172" formatCode="[$-409]d/mmm/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8"/>
      <name val="Calibri"/>
      <family val="2"/>
      <scheme val="minor"/>
    </font>
    <font>
      <b/>
      <u/>
      <sz val="15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8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7" fontId="8" fillId="0" borderId="0" xfId="1" applyNumberFormat="1" applyFont="1"/>
    <xf numFmtId="0" fontId="7" fillId="0" borderId="2" xfId="1" applyFont="1" applyBorder="1"/>
    <xf numFmtId="0" fontId="9" fillId="0" borderId="2" xfId="1" applyFont="1" applyBorder="1" applyAlignment="1">
      <alignment horizontal="center" vertical="center"/>
    </xf>
    <xf numFmtId="0" fontId="8" fillId="0" borderId="2" xfId="1" applyFont="1" applyBorder="1"/>
    <xf numFmtId="0" fontId="7" fillId="0" borderId="3" xfId="1" applyFont="1" applyBorder="1"/>
    <xf numFmtId="1" fontId="7" fillId="0" borderId="6" xfId="1" applyNumberFormat="1" applyFont="1" applyBorder="1"/>
    <xf numFmtId="2" fontId="7" fillId="0" borderId="7" xfId="1" applyNumberFormat="1" applyFont="1" applyBorder="1"/>
    <xf numFmtId="2" fontId="9" fillId="0" borderId="8" xfId="1" applyNumberFormat="1" applyFont="1" applyBorder="1"/>
    <xf numFmtId="1" fontId="7" fillId="2" borderId="6" xfId="1" applyNumberFormat="1" applyFont="1" applyFill="1" applyBorder="1"/>
    <xf numFmtId="1" fontId="7" fillId="0" borderId="8" xfId="1" applyNumberFormat="1" applyFont="1" applyBorder="1"/>
    <xf numFmtId="2" fontId="9" fillId="0" borderId="18" xfId="1" applyNumberFormat="1" applyFont="1" applyBorder="1"/>
    <xf numFmtId="168" fontId="9" fillId="0" borderId="8" xfId="1" applyNumberFormat="1" applyFont="1" applyBorder="1"/>
    <xf numFmtId="164" fontId="8" fillId="0" borderId="0" xfId="1" applyNumberFormat="1" applyFont="1"/>
    <xf numFmtId="2" fontId="8" fillId="0" borderId="0" xfId="1" applyNumberFormat="1" applyFont="1"/>
    <xf numFmtId="1" fontId="8" fillId="0" borderId="3" xfId="1" applyNumberFormat="1" applyFont="1" applyBorder="1"/>
    <xf numFmtId="2" fontId="10" fillId="0" borderId="3" xfId="1" applyNumberFormat="1" applyFont="1" applyBorder="1"/>
    <xf numFmtId="1" fontId="7" fillId="0" borderId="11" xfId="1" applyNumberFormat="1" applyFont="1" applyBorder="1"/>
    <xf numFmtId="1" fontId="8" fillId="0" borderId="10" xfId="1" applyNumberFormat="1" applyFont="1" applyBorder="1"/>
    <xf numFmtId="1" fontId="8" fillId="0" borderId="2" xfId="1" applyNumberFormat="1" applyFont="1" applyBorder="1"/>
    <xf numFmtId="2" fontId="10" fillId="0" borderId="2" xfId="1" applyNumberFormat="1" applyFont="1" applyBorder="1"/>
    <xf numFmtId="2" fontId="9" fillId="2" borderId="8" xfId="1" applyNumberFormat="1" applyFont="1" applyFill="1" applyBorder="1"/>
    <xf numFmtId="0" fontId="10" fillId="0" borderId="0" xfId="1" applyFont="1"/>
    <xf numFmtId="165" fontId="8" fillId="0" borderId="0" xfId="1" applyNumberFormat="1" applyFont="1"/>
    <xf numFmtId="0" fontId="7" fillId="0" borderId="10" xfId="1" applyFont="1" applyBorder="1"/>
    <xf numFmtId="0" fontId="9" fillId="0" borderId="2" xfId="1" applyFont="1" applyBorder="1"/>
    <xf numFmtId="2" fontId="9" fillId="0" borderId="2" xfId="1" applyNumberFormat="1" applyFont="1" applyBorder="1"/>
    <xf numFmtId="2" fontId="7" fillId="0" borderId="2" xfId="1" applyNumberFormat="1" applyFont="1" applyBorder="1"/>
    <xf numFmtId="0" fontId="7" fillId="0" borderId="21" xfId="1" applyFont="1" applyBorder="1"/>
    <xf numFmtId="2" fontId="7" fillId="0" borderId="3" xfId="1" applyNumberFormat="1" applyFont="1" applyBorder="1"/>
    <xf numFmtId="1" fontId="7" fillId="0" borderId="4" xfId="1" applyNumberFormat="1" applyFont="1" applyBorder="1"/>
    <xf numFmtId="2" fontId="7" fillId="0" borderId="5" xfId="1" applyNumberFormat="1" applyFont="1" applyBorder="1"/>
    <xf numFmtId="2" fontId="9" fillId="0" borderId="13" xfId="1" applyNumberFormat="1" applyFont="1" applyBorder="1"/>
    <xf numFmtId="0" fontId="9" fillId="0" borderId="0" xfId="1" applyFont="1" applyAlignment="1">
      <alignment horizontal="center" vertical="center"/>
    </xf>
    <xf numFmtId="166" fontId="9" fillId="0" borderId="0" xfId="1" applyNumberFormat="1" applyFont="1"/>
    <xf numFmtId="2" fontId="9" fillId="0" borderId="16" xfId="1" applyNumberFormat="1" applyFont="1" applyBorder="1"/>
    <xf numFmtId="2" fontId="9" fillId="0" borderId="17" xfId="1" applyNumberFormat="1" applyFont="1" applyBorder="1"/>
    <xf numFmtId="2" fontId="10" fillId="0" borderId="0" xfId="1" applyNumberFormat="1" applyFont="1"/>
    <xf numFmtId="0" fontId="8" fillId="0" borderId="3" xfId="1" applyFont="1" applyBorder="1"/>
    <xf numFmtId="0" fontId="10" fillId="0" borderId="3" xfId="1" applyFont="1" applyBorder="1"/>
    <xf numFmtId="2" fontId="9" fillId="0" borderId="0" xfId="1" applyNumberFormat="1" applyFont="1"/>
    <xf numFmtId="166" fontId="10" fillId="0" borderId="2" xfId="1" applyNumberFormat="1" applyFont="1" applyBorder="1"/>
    <xf numFmtId="166" fontId="9" fillId="0" borderId="2" xfId="1" applyNumberFormat="1" applyFont="1" applyBorder="1"/>
    <xf numFmtId="0" fontId="7" fillId="2" borderId="2" xfId="1" applyFont="1" applyFill="1" applyBorder="1"/>
    <xf numFmtId="2" fontId="9" fillId="0" borderId="12" xfId="1" applyNumberFormat="1" applyFont="1" applyBorder="1"/>
    <xf numFmtId="2" fontId="9" fillId="2" borderId="12" xfId="1" applyNumberFormat="1" applyFont="1" applyFill="1" applyBorder="1"/>
    <xf numFmtId="2" fontId="9" fillId="0" borderId="5" xfId="1" applyNumberFormat="1" applyFont="1" applyBorder="1"/>
    <xf numFmtId="2" fontId="7" fillId="2" borderId="2" xfId="1" applyNumberFormat="1" applyFont="1" applyFill="1" applyBorder="1"/>
    <xf numFmtId="0" fontId="8" fillId="2" borderId="2" xfId="1" applyFont="1" applyFill="1" applyBorder="1"/>
    <xf numFmtId="2" fontId="10" fillId="2" borderId="2" xfId="1" applyNumberFormat="1" applyFont="1" applyFill="1" applyBorder="1"/>
    <xf numFmtId="2" fontId="7" fillId="2" borderId="2" xfId="1" applyNumberFormat="1" applyFont="1" applyFill="1" applyBorder="1" applyAlignment="1">
      <alignment wrapText="1"/>
    </xf>
    <xf numFmtId="0" fontId="8" fillId="2" borderId="3" xfId="1" applyFont="1" applyFill="1" applyBorder="1"/>
    <xf numFmtId="1" fontId="10" fillId="0" borderId="3" xfId="1" applyNumberFormat="1" applyFont="1" applyBorder="1"/>
    <xf numFmtId="0" fontId="10" fillId="0" borderId="2" xfId="1" applyFont="1" applyBorder="1"/>
    <xf numFmtId="1" fontId="7" fillId="0" borderId="5" xfId="1" applyNumberFormat="1" applyFont="1" applyBorder="1"/>
    <xf numFmtId="0" fontId="7" fillId="2" borderId="9" xfId="1" applyFont="1" applyFill="1" applyBorder="1"/>
    <xf numFmtId="1" fontId="7" fillId="0" borderId="20" xfId="1" applyNumberFormat="1" applyFont="1" applyBorder="1"/>
    <xf numFmtId="0" fontId="8" fillId="0" borderId="9" xfId="1" applyFont="1" applyBorder="1"/>
    <xf numFmtId="2" fontId="7" fillId="0" borderId="19" xfId="1" applyNumberFormat="1" applyFont="1" applyBorder="1"/>
    <xf numFmtId="1" fontId="7" fillId="0" borderId="3" xfId="1" applyNumberFormat="1" applyFont="1" applyBorder="1"/>
    <xf numFmtId="2" fontId="9" fillId="0" borderId="3" xfId="1" applyNumberFormat="1" applyFont="1" applyBorder="1"/>
    <xf numFmtId="1" fontId="9" fillId="0" borderId="3" xfId="1" applyNumberFormat="1" applyFont="1" applyBorder="1"/>
    <xf numFmtId="2" fontId="9" fillId="2" borderId="3" xfId="1" applyNumberFormat="1" applyFont="1" applyFill="1" applyBorder="1"/>
    <xf numFmtId="2" fontId="7" fillId="0" borderId="6" xfId="1" applyNumberFormat="1" applyFont="1" applyBorder="1"/>
    <xf numFmtId="2" fontId="7" fillId="2" borderId="7" xfId="1" applyNumberFormat="1" applyFont="1" applyFill="1" applyBorder="1"/>
    <xf numFmtId="1" fontId="8" fillId="0" borderId="5" xfId="1" applyNumberFormat="1" applyFont="1" applyBorder="1"/>
    <xf numFmtId="2" fontId="10" fillId="0" borderId="5" xfId="1" applyNumberFormat="1" applyFont="1" applyBorder="1"/>
    <xf numFmtId="1" fontId="10" fillId="0" borderId="5" xfId="1" applyNumberFormat="1" applyFont="1" applyBorder="1"/>
    <xf numFmtId="1" fontId="9" fillId="0" borderId="8" xfId="1" applyNumberFormat="1" applyFont="1" applyBorder="1"/>
    <xf numFmtId="1" fontId="9" fillId="0" borderId="2" xfId="1" applyNumberFormat="1" applyFont="1" applyBorder="1"/>
    <xf numFmtId="0" fontId="9" fillId="0" borderId="0" xfId="1" applyFont="1"/>
    <xf numFmtId="0" fontId="11" fillId="0" borderId="1" xfId="14" applyFont="1" applyBorder="1"/>
    <xf numFmtId="0" fontId="13" fillId="0" borderId="0" xfId="14" applyFont="1"/>
    <xf numFmtId="0" fontId="14" fillId="0" borderId="0" xfId="14" applyFont="1"/>
    <xf numFmtId="0" fontId="15" fillId="0" borderId="2" xfId="14" applyFont="1" applyBorder="1" applyAlignment="1">
      <alignment wrapText="1"/>
    </xf>
    <xf numFmtId="0" fontId="13" fillId="0" borderId="2" xfId="14" applyFont="1" applyBorder="1"/>
    <xf numFmtId="0" fontId="16" fillId="0" borderId="2" xfId="14" applyFont="1" applyBorder="1" applyAlignment="1">
      <alignment horizontal="center" vertical="center" wrapText="1"/>
    </xf>
    <xf numFmtId="0" fontId="13" fillId="0" borderId="2" xfId="14" applyFont="1" applyBorder="1" applyAlignment="1">
      <alignment wrapText="1"/>
    </xf>
    <xf numFmtId="171" fontId="15" fillId="0" borderId="2" xfId="14" applyNumberFormat="1" applyFont="1" applyBorder="1" applyAlignment="1">
      <alignment horizontal="center" vertical="center" wrapText="1"/>
    </xf>
    <xf numFmtId="0" fontId="15" fillId="0" borderId="2" xfId="14" applyFont="1" applyBorder="1" applyAlignment="1">
      <alignment horizontal="center" vertical="center" wrapText="1"/>
    </xf>
    <xf numFmtId="0" fontId="18" fillId="0" borderId="2" xfId="14" applyFont="1" applyBorder="1"/>
    <xf numFmtId="0" fontId="19" fillId="0" borderId="2" xfId="14" applyFont="1" applyBorder="1"/>
    <xf numFmtId="2" fontId="19" fillId="0" borderId="2" xfId="14" applyNumberFormat="1" applyFont="1" applyBorder="1"/>
    <xf numFmtId="0" fontId="20" fillId="0" borderId="0" xfId="14" applyFont="1"/>
    <xf numFmtId="0" fontId="19" fillId="0" borderId="2" xfId="14" applyFont="1" applyBorder="1" applyAlignment="1">
      <alignment vertical="center" wrapText="1"/>
    </xf>
    <xf numFmtId="2" fontId="20" fillId="0" borderId="0" xfId="14" applyNumberFormat="1" applyFont="1"/>
    <xf numFmtId="0" fontId="19" fillId="0" borderId="2" xfId="14" applyFont="1" applyBorder="1" applyAlignment="1">
      <alignment wrapText="1"/>
    </xf>
    <xf numFmtId="168" fontId="14" fillId="0" borderId="0" xfId="14" applyNumberFormat="1" applyFont="1"/>
    <xf numFmtId="169" fontId="14" fillId="0" borderId="0" xfId="14" applyNumberFormat="1" applyFont="1"/>
    <xf numFmtId="0" fontId="18" fillId="0" borderId="9" xfId="14" applyFont="1" applyBorder="1"/>
    <xf numFmtId="0" fontId="13" fillId="0" borderId="9" xfId="14" applyFont="1" applyBorder="1"/>
    <xf numFmtId="2" fontId="19" fillId="0" borderId="9" xfId="14" applyNumberFormat="1" applyFont="1" applyBorder="1"/>
    <xf numFmtId="0" fontId="20" fillId="0" borderId="18" xfId="14" applyFont="1" applyBorder="1"/>
    <xf numFmtId="0" fontId="19" fillId="0" borderId="22" xfId="14" applyFont="1" applyBorder="1"/>
    <xf numFmtId="2" fontId="19" fillId="0" borderId="6" xfId="14" applyNumberFormat="1" applyFont="1" applyBorder="1"/>
    <xf numFmtId="0" fontId="20" fillId="0" borderId="5" xfId="14" applyFont="1" applyBorder="1"/>
    <xf numFmtId="0" fontId="19" fillId="0" borderId="5" xfId="14" applyFont="1" applyBorder="1"/>
    <xf numFmtId="2" fontId="19" fillId="0" borderId="5" xfId="14" applyNumberFormat="1" applyFont="1" applyBorder="1"/>
    <xf numFmtId="0" fontId="20" fillId="0" borderId="20" xfId="14" applyFont="1" applyBorder="1"/>
    <xf numFmtId="0" fontId="19" fillId="0" borderId="18" xfId="14" applyFont="1" applyBorder="1"/>
    <xf numFmtId="2" fontId="19" fillId="0" borderId="7" xfId="14" applyNumberFormat="1" applyFont="1" applyBorder="1"/>
    <xf numFmtId="0" fontId="20" fillId="0" borderId="3" xfId="14" applyFont="1" applyBorder="1"/>
    <xf numFmtId="0" fontId="19" fillId="0" borderId="3" xfId="14" applyFont="1" applyBorder="1"/>
    <xf numFmtId="2" fontId="19" fillId="0" borderId="3" xfId="14" applyNumberFormat="1" applyFont="1" applyBorder="1"/>
    <xf numFmtId="0" fontId="20" fillId="0" borderId="2" xfId="14" applyFont="1" applyBorder="1"/>
    <xf numFmtId="2" fontId="14" fillId="0" borderId="0" xfId="14" applyNumberFormat="1" applyFont="1"/>
    <xf numFmtId="2" fontId="20" fillId="0" borderId="0" xfId="14" applyNumberFormat="1" applyFont="1" applyAlignment="1">
      <alignment wrapText="1"/>
    </xf>
    <xf numFmtId="0" fontId="20" fillId="0" borderId="9" xfId="14" applyFont="1" applyBorder="1"/>
    <xf numFmtId="0" fontId="19" fillId="0" borderId="9" xfId="14" applyFont="1" applyBorder="1"/>
    <xf numFmtId="0" fontId="21" fillId="0" borderId="22" xfId="14" applyFont="1" applyBorder="1" applyAlignment="1">
      <alignment wrapText="1"/>
    </xf>
    <xf numFmtId="2" fontId="19" fillId="3" borderId="6" xfId="14" applyNumberFormat="1" applyFont="1" applyFill="1" applyBorder="1"/>
    <xf numFmtId="2" fontId="13" fillId="0" borderId="0" xfId="14" applyNumberFormat="1" applyFont="1"/>
    <xf numFmtId="168" fontId="13" fillId="0" borderId="0" xfId="14" applyNumberFormat="1" applyFont="1"/>
    <xf numFmtId="2" fontId="19" fillId="0" borderId="0" xfId="14" applyNumberFormat="1" applyFont="1"/>
    <xf numFmtId="0" fontId="17" fillId="0" borderId="0" xfId="14" applyFont="1"/>
    <xf numFmtId="1" fontId="17" fillId="0" borderId="0" xfId="14" applyNumberFormat="1" applyFont="1"/>
    <xf numFmtId="2" fontId="17" fillId="0" borderId="0" xfId="14" applyNumberFormat="1" applyFont="1"/>
    <xf numFmtId="170" fontId="14" fillId="0" borderId="0" xfId="15" applyNumberFormat="1" applyFont="1" applyFill="1"/>
    <xf numFmtId="0" fontId="17" fillId="0" borderId="0" xfId="14" applyFont="1" applyAlignment="1">
      <alignment wrapText="1"/>
    </xf>
    <xf numFmtId="172" fontId="17" fillId="0" borderId="0" xfId="14" applyNumberFormat="1" applyFont="1"/>
    <xf numFmtId="0" fontId="14" fillId="3" borderId="0" xfId="14" applyFont="1" applyFill="1"/>
    <xf numFmtId="37" fontId="17" fillId="0" borderId="0" xfId="14" applyNumberFormat="1" applyFont="1"/>
    <xf numFmtId="171" fontId="16" fillId="4" borderId="2" xfId="14" applyNumberFormat="1" applyFont="1" applyFill="1" applyBorder="1" applyAlignment="1">
      <alignment horizontal="center" vertical="center" wrapText="1"/>
    </xf>
    <xf numFmtId="171" fontId="15" fillId="4" borderId="2" xfId="14" applyNumberFormat="1" applyFont="1" applyFill="1" applyBorder="1" applyAlignment="1">
      <alignment horizontal="center" vertical="center" wrapText="1"/>
    </xf>
    <xf numFmtId="2" fontId="19" fillId="4" borderId="2" xfId="14" applyNumberFormat="1" applyFont="1" applyFill="1" applyBorder="1"/>
    <xf numFmtId="169" fontId="19" fillId="4" borderId="2" xfId="14" applyNumberFormat="1" applyFont="1" applyFill="1" applyBorder="1"/>
    <xf numFmtId="2" fontId="19" fillId="4" borderId="2" xfId="14" applyNumberFormat="1" applyFont="1" applyFill="1" applyBorder="1" applyAlignment="1">
      <alignment wrapText="1"/>
    </xf>
    <xf numFmtId="2" fontId="19" fillId="4" borderId="9" xfId="14" applyNumberFormat="1" applyFont="1" applyFill="1" applyBorder="1"/>
    <xf numFmtId="2" fontId="19" fillId="4" borderId="6" xfId="14" applyNumberFormat="1" applyFont="1" applyFill="1" applyBorder="1"/>
    <xf numFmtId="2" fontId="19" fillId="4" borderId="5" xfId="14" applyNumberFormat="1" applyFont="1" applyFill="1" applyBorder="1"/>
    <xf numFmtId="2" fontId="19" fillId="4" borderId="7" xfId="14" applyNumberFormat="1" applyFont="1" applyFill="1" applyBorder="1"/>
    <xf numFmtId="2" fontId="19" fillId="4" borderId="3" xfId="14" applyNumberFormat="1" applyFont="1" applyFill="1" applyBorder="1"/>
    <xf numFmtId="171" fontId="16" fillId="5" borderId="2" xfId="14" applyNumberFormat="1" applyFont="1" applyFill="1" applyBorder="1" applyAlignment="1">
      <alignment horizontal="center" vertical="center" wrapText="1"/>
    </xf>
    <xf numFmtId="171" fontId="17" fillId="5" borderId="2" xfId="14" applyNumberFormat="1" applyFont="1" applyFill="1" applyBorder="1" applyAlignment="1">
      <alignment horizontal="center" vertical="top" wrapText="1"/>
    </xf>
    <xf numFmtId="171" fontId="15" fillId="5" borderId="2" xfId="14" applyNumberFormat="1" applyFont="1" applyFill="1" applyBorder="1" applyAlignment="1">
      <alignment horizontal="center" vertical="center" wrapText="1"/>
    </xf>
    <xf numFmtId="2" fontId="19" fillId="5" borderId="2" xfId="14" applyNumberFormat="1" applyFont="1" applyFill="1" applyBorder="1"/>
    <xf numFmtId="2" fontId="19" fillId="5" borderId="2" xfId="14" applyNumberFormat="1" applyFont="1" applyFill="1" applyBorder="1" applyAlignment="1">
      <alignment wrapText="1"/>
    </xf>
    <xf numFmtId="2" fontId="19" fillId="5" borderId="9" xfId="14" applyNumberFormat="1" applyFont="1" applyFill="1" applyBorder="1"/>
    <xf numFmtId="2" fontId="19" fillId="5" borderId="6" xfId="14" applyNumberFormat="1" applyFont="1" applyFill="1" applyBorder="1"/>
    <xf numFmtId="2" fontId="19" fillId="5" borderId="5" xfId="14" applyNumberFormat="1" applyFont="1" applyFill="1" applyBorder="1"/>
    <xf numFmtId="2" fontId="19" fillId="5" borderId="7" xfId="14" applyNumberFormat="1" applyFont="1" applyFill="1" applyBorder="1"/>
    <xf numFmtId="2" fontId="19" fillId="5" borderId="3" xfId="14" applyNumberFormat="1" applyFont="1" applyFill="1" applyBorder="1"/>
    <xf numFmtId="0" fontId="22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5" fillId="4" borderId="9" xfId="14" applyFont="1" applyFill="1" applyBorder="1" applyAlignment="1">
      <alignment horizontal="center" vertical="center" wrapText="1"/>
    </xf>
    <xf numFmtId="0" fontId="15" fillId="4" borderId="5" xfId="14" applyFont="1" applyFill="1" applyBorder="1" applyAlignment="1">
      <alignment horizontal="center" vertical="center" wrapText="1"/>
    </xf>
    <xf numFmtId="0" fontId="15" fillId="4" borderId="3" xfId="14" applyFont="1" applyFill="1" applyBorder="1" applyAlignment="1">
      <alignment horizontal="center" vertical="center" wrapText="1"/>
    </xf>
    <xf numFmtId="0" fontId="12" fillId="4" borderId="2" xfId="14" applyFont="1" applyFill="1" applyBorder="1" applyAlignment="1">
      <alignment horizontal="center"/>
    </xf>
    <xf numFmtId="0" fontId="12" fillId="5" borderId="23" xfId="14" applyFont="1" applyFill="1" applyBorder="1" applyAlignment="1">
      <alignment horizontal="center"/>
    </xf>
    <xf numFmtId="0" fontId="12" fillId="5" borderId="1" xfId="14" applyFont="1" applyFill="1" applyBorder="1" applyAlignment="1">
      <alignment horizontal="center"/>
    </xf>
  </cellXfs>
  <cellStyles count="16"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2 2" xfId="15" xr:uid="{52C4E7A6-43B8-471F-B42D-D1F18D12E602}"/>
    <cellStyle name="Normal" xfId="0" builtinId="0"/>
    <cellStyle name="Normal 2" xfId="1" xr:uid="{00000000-0005-0000-0000-000004000000}"/>
    <cellStyle name="Normal 2 2" xfId="6" xr:uid="{00000000-0005-0000-0000-000005000000}"/>
    <cellStyle name="Normal 2 3" xfId="12" xr:uid="{00000000-0005-0000-0000-000006000000}"/>
    <cellStyle name="Normal 3" xfId="3" xr:uid="{00000000-0005-0000-0000-000007000000}"/>
    <cellStyle name="Normal 3 2" xfId="11" xr:uid="{00000000-0005-0000-0000-000008000000}"/>
    <cellStyle name="Normal 3 2 2" xfId="14" xr:uid="{DBE9A099-1AE0-4073-B845-88F91737D2E5}"/>
    <cellStyle name="Normal 4" xfId="7" xr:uid="{00000000-0005-0000-0000-000009000000}"/>
    <cellStyle name="Normal 4 2" xfId="8" xr:uid="{00000000-0005-0000-0000-00000A000000}"/>
    <cellStyle name="Normal 6" xfId="9" xr:uid="{00000000-0005-0000-0000-00000B000000}"/>
    <cellStyle name="Normal 7" xfId="10" xr:uid="{00000000-0005-0000-0000-00000C000000}"/>
    <cellStyle name="Percent 2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.%20Shree%20Ramakrishn%20Enterprises\6.%20Budget%20Cash%20Flow\Cashflow%20statement%20-%20as%20per%20discussion%20with%20Sir%20-%20upto%20Jan.xlsx" TargetMode="External"/><Relationship Id="rId1" Type="http://schemas.openxmlformats.org/officeDocument/2006/relationships/externalLinkPath" Target="/1.%20Shree%20Ramakrishn%20Enterprises/6.%20Budget%20Cash%20Flow/Cashflow%20statement%20-%20as%20per%20discussion%20with%20Sir%20-%20upto%20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fference"/>
      <sheetName val="1. FINAL PKM Sheets"/>
      <sheetName val="2. CF Working final"/>
      <sheetName val=".old cash flow"/>
      <sheetName val="CF Working (2)"/>
      <sheetName val="CASHFLOW STATEMENT- SHORT PKM"/>
      <sheetName val="RECO OF ADDNL 9.12"/>
      <sheetName val="CF short PKM"/>
      <sheetName val="3. SHORT BUDGET FOR PKM"/>
      <sheetName val="4. Bal Construction cost"/>
      <sheetName val="5. SHORT EXP BALANCE"/>
      <sheetName val="6. BMC PAYMENTS"/>
      <sheetName val="7. Finishing cost"/>
      <sheetName val="Budget on enhanced FSI final"/>
      <sheetName val="Sheet1"/>
      <sheetName val="Budget on enhanced FSI"/>
      <sheetName val="Cashflow on enhanced FSI"/>
      <sheetName val="Different Sale price"/>
      <sheetName val="COMPARISION BUDGET OLD Vs New"/>
      <sheetName val="OLD FSI Budget"/>
      <sheetName val="PKM Sheet (2)"/>
      <sheetName val="Budget full and 6 flrs"/>
    </sheetNames>
    <sheetDataSet>
      <sheetData sheetId="0" refreshError="1"/>
      <sheetData sheetId="1">
        <row r="38">
          <cell r="B38" t="str">
            <v>Legal &amp; Develpoment ( Total 425/- x 48459 sq ft)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B4" t="str">
            <v xml:space="preserve">RCC-Material + Nala Cost + Excavation + GST </v>
          </cell>
        </row>
        <row r="5">
          <cell r="B5" t="str">
            <v>RCC-labour</v>
          </cell>
        </row>
        <row r="6">
          <cell r="B6" t="str">
            <v>Finishing Cost - Material</v>
          </cell>
        </row>
        <row r="7">
          <cell r="B7" t="str">
            <v>Finishing Cost - Labour</v>
          </cell>
        </row>
        <row r="8">
          <cell r="B8" t="str">
            <v>BMC Payments +Property Tax ( LUC)</v>
          </cell>
        </row>
        <row r="9">
          <cell r="B9" t="str">
            <v>Temp Accom, brokerage &amp; Transportation</v>
          </cell>
        </row>
        <row r="10">
          <cell r="B10" t="str">
            <v>Corpus Fund</v>
          </cell>
        </row>
        <row r="11">
          <cell r="B11" t="str">
            <v xml:space="preserve">Admin cost </v>
          </cell>
        </row>
        <row r="12">
          <cell r="B12" t="str">
            <v>Bank Gurantee / Interest Cost + Stamp Duty &amp; Registration on DA</v>
          </cell>
        </row>
        <row r="13">
          <cell r="B13" t="str">
            <v>Professional Fees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zoomScaleNormal="100" workbookViewId="0">
      <selection activeCell="J3" sqref="J3"/>
    </sheetView>
  </sheetViews>
  <sheetFormatPr defaultColWidth="9.109375" defaultRowHeight="14.4" x14ac:dyDescent="0.35"/>
  <cols>
    <col min="1" max="1" width="6.33203125" style="1" customWidth="1"/>
    <col min="2" max="2" width="37.5546875" style="1" customWidth="1"/>
    <col min="3" max="3" width="8.6640625" style="1" hidden="1" customWidth="1"/>
    <col min="4" max="4" width="8.5546875" style="1" hidden="1" customWidth="1"/>
    <col min="5" max="5" width="1.6640625" style="27" hidden="1" customWidth="1"/>
    <col min="6" max="6" width="12.33203125" style="27" customWidth="1"/>
    <col min="7" max="7" width="8.44140625" style="27" customWidth="1"/>
    <col min="8" max="8" width="12.5546875" style="27" bestFit="1" customWidth="1"/>
    <col min="9" max="9" width="12.5546875" style="42" bestFit="1" customWidth="1"/>
    <col min="10" max="10" width="12.5546875" style="27" bestFit="1" customWidth="1"/>
    <col min="11" max="11" width="23.44140625" style="27" hidden="1" customWidth="1"/>
    <col min="12" max="12" width="9.44140625" style="27" hidden="1" customWidth="1"/>
    <col min="13" max="13" width="13.44140625" style="27" hidden="1" customWidth="1"/>
    <col min="14" max="14" width="11.109375" style="28" hidden="1" customWidth="1"/>
    <col min="15" max="15" width="10.44140625" style="1" hidden="1" customWidth="1"/>
    <col min="16" max="16" width="13.6640625" style="1" bestFit="1" customWidth="1"/>
    <col min="17" max="17" width="10" style="1" bestFit="1" customWidth="1"/>
    <col min="18" max="18" width="11" style="1" bestFit="1" customWidth="1"/>
    <col min="19" max="16384" width="9.109375" style="1"/>
  </cols>
  <sheetData>
    <row r="1" spans="1:1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"/>
      <c r="L1" s="1"/>
      <c r="M1" s="1"/>
      <c r="N1" s="1"/>
    </row>
    <row r="2" spans="1:15" ht="48" customHeight="1" x14ac:dyDescent="0.35">
      <c r="A2" s="2" t="s">
        <v>1</v>
      </c>
      <c r="B2" s="3" t="s">
        <v>2</v>
      </c>
      <c r="C2" s="149" t="s">
        <v>3</v>
      </c>
      <c r="D2" s="150"/>
      <c r="E2" s="151"/>
      <c r="F2" s="149" t="s">
        <v>4</v>
      </c>
      <c r="G2" s="150"/>
      <c r="H2" s="151"/>
      <c r="I2" s="4" t="s">
        <v>80</v>
      </c>
      <c r="J2" s="5" t="s">
        <v>35</v>
      </c>
      <c r="K2" s="1"/>
      <c r="L2" s="6"/>
      <c r="M2" s="1"/>
      <c r="N2" s="1"/>
    </row>
    <row r="3" spans="1:15" ht="15" thickBot="1" x14ac:dyDescent="0.4">
      <c r="A3" s="7" t="s">
        <v>39</v>
      </c>
      <c r="B3" s="7" t="s">
        <v>5</v>
      </c>
      <c r="C3" s="3" t="s">
        <v>6</v>
      </c>
      <c r="D3" s="3" t="s">
        <v>7</v>
      </c>
      <c r="E3" s="8" t="s">
        <v>8</v>
      </c>
      <c r="F3" s="3" t="s">
        <v>6</v>
      </c>
      <c r="G3" s="3" t="s">
        <v>7</v>
      </c>
      <c r="H3" s="8" t="s">
        <v>91</v>
      </c>
      <c r="I3" s="8" t="s">
        <v>91</v>
      </c>
      <c r="J3" s="8" t="s">
        <v>91</v>
      </c>
      <c r="K3" s="1"/>
      <c r="L3" s="6"/>
      <c r="M3" s="1" t="s">
        <v>36</v>
      </c>
      <c r="N3" s="1"/>
    </row>
    <row r="4" spans="1:15" ht="15" thickBot="1" x14ac:dyDescent="0.4">
      <c r="A4" s="9">
        <v>1</v>
      </c>
      <c r="B4" s="10" t="s">
        <v>37</v>
      </c>
      <c r="C4" s="11">
        <v>40444</v>
      </c>
      <c r="D4" s="12" t="e">
        <v>#REF!</v>
      </c>
      <c r="E4" s="13" t="e">
        <v>#REF!</v>
      </c>
      <c r="F4" s="14">
        <v>45952</v>
      </c>
      <c r="G4" s="15">
        <f>(H4*100000)/F4</f>
        <v>35.471796657381617</v>
      </c>
      <c r="H4" s="16">
        <f>16.3</f>
        <v>16.3</v>
      </c>
      <c r="I4" s="17">
        <f>1487.65/100</f>
        <v>14.8765</v>
      </c>
      <c r="J4" s="13">
        <f>H4-I4</f>
        <v>1.4235000000000007</v>
      </c>
      <c r="K4" s="18"/>
      <c r="L4" s="6"/>
      <c r="M4" s="1"/>
      <c r="N4" s="19"/>
      <c r="O4" s="19"/>
    </row>
    <row r="5" spans="1:15" ht="15" thickBot="1" x14ac:dyDescent="0.4">
      <c r="A5" s="9"/>
      <c r="B5" s="7"/>
      <c r="C5" s="20"/>
      <c r="D5" s="20"/>
      <c r="E5" s="21"/>
      <c r="F5" s="21"/>
      <c r="G5" s="21"/>
      <c r="H5" s="21"/>
      <c r="I5" s="21"/>
      <c r="J5" s="21"/>
      <c r="K5" s="1"/>
      <c r="L5" s="6"/>
      <c r="M5" s="1"/>
      <c r="N5" s="1"/>
    </row>
    <row r="6" spans="1:15" ht="15" thickBot="1" x14ac:dyDescent="0.4">
      <c r="A6" s="9">
        <v>2</v>
      </c>
      <c r="B6" s="7" t="s">
        <v>9</v>
      </c>
      <c r="C6" s="22">
        <v>40444</v>
      </c>
      <c r="D6" s="12" t="e">
        <v>#REF!</v>
      </c>
      <c r="E6" s="13" t="e">
        <v>#REF!</v>
      </c>
      <c r="F6" s="11">
        <v>45952</v>
      </c>
      <c r="G6" s="15">
        <f>(H6*100000)/F6</f>
        <v>19.4333217270195</v>
      </c>
      <c r="H6" s="13">
        <f>8.93</f>
        <v>8.93</v>
      </c>
      <c r="I6" s="17">
        <f>332.402/100</f>
        <v>3.32402</v>
      </c>
      <c r="J6" s="13">
        <f>H6-I6</f>
        <v>5.6059799999999997</v>
      </c>
      <c r="K6" s="18"/>
      <c r="L6" s="6"/>
      <c r="M6" s="1"/>
      <c r="N6" s="1"/>
    </row>
    <row r="7" spans="1:15" ht="15" thickBot="1" x14ac:dyDescent="0.4">
      <c r="A7" s="9"/>
      <c r="B7" s="7"/>
      <c r="C7" s="23"/>
      <c r="D7" s="24"/>
      <c r="E7" s="25"/>
      <c r="F7" s="25"/>
      <c r="G7" s="25"/>
      <c r="H7" s="25"/>
      <c r="I7" s="25"/>
      <c r="J7" s="25"/>
      <c r="K7" s="1"/>
      <c r="L7" s="6"/>
      <c r="M7" s="1"/>
      <c r="N7" s="1"/>
    </row>
    <row r="8" spans="1:15" ht="15" thickBot="1" x14ac:dyDescent="0.4">
      <c r="A8" s="9">
        <v>3</v>
      </c>
      <c r="B8" s="7" t="s">
        <v>10</v>
      </c>
      <c r="C8" s="22">
        <v>40444</v>
      </c>
      <c r="D8" s="12" t="e">
        <v>#REF!</v>
      </c>
      <c r="E8" s="13" t="e">
        <v>#REF!</v>
      </c>
      <c r="F8" s="11">
        <v>45952</v>
      </c>
      <c r="G8" s="15">
        <f>(H8*100000)/F8</f>
        <v>35.776462395543177</v>
      </c>
      <c r="H8" s="13">
        <f>16.44</f>
        <v>16.440000000000001</v>
      </c>
      <c r="I8" s="26">
        <f>(40.25+5.307)/100</f>
        <v>0.45557000000000003</v>
      </c>
      <c r="J8" s="13">
        <f>H8-I8</f>
        <v>15.984430000000001</v>
      </c>
      <c r="K8" s="18"/>
      <c r="L8" s="6"/>
    </row>
    <row r="9" spans="1:15" ht="15" thickBot="1" x14ac:dyDescent="0.4">
      <c r="A9" s="9"/>
      <c r="B9" s="9"/>
      <c r="C9" s="29"/>
      <c r="D9" s="7"/>
      <c r="E9" s="30"/>
      <c r="F9" s="30"/>
      <c r="G9" s="30"/>
      <c r="H9" s="30"/>
      <c r="I9" s="31"/>
      <c r="J9" s="30"/>
    </row>
    <row r="10" spans="1:15" ht="15" thickBot="1" x14ac:dyDescent="0.4">
      <c r="A10" s="9">
        <v>4</v>
      </c>
      <c r="B10" s="32" t="s">
        <v>11</v>
      </c>
      <c r="C10" s="22">
        <v>40444</v>
      </c>
      <c r="D10" s="12" t="e">
        <v>#REF!</v>
      </c>
      <c r="E10" s="13" t="e">
        <v>#REF!</v>
      </c>
      <c r="F10" s="11">
        <v>45952</v>
      </c>
      <c r="G10" s="15">
        <f>(H10*100000)/F10</f>
        <v>5.6145543175487465</v>
      </c>
      <c r="H10" s="13">
        <f>2.58</f>
        <v>2.58</v>
      </c>
      <c r="I10" s="17">
        <f>258/100</f>
        <v>2.58</v>
      </c>
      <c r="J10" s="13">
        <f>H10-I10</f>
        <v>0</v>
      </c>
      <c r="K10" s="18"/>
      <c r="L10" s="6"/>
      <c r="O10" s="19"/>
    </row>
    <row r="11" spans="1:15" ht="15" thickBot="1" x14ac:dyDescent="0.4">
      <c r="A11" s="9"/>
      <c r="B11" s="32"/>
      <c r="C11" s="33"/>
      <c r="D11" s="10"/>
      <c r="E11" s="21"/>
      <c r="F11" s="21"/>
      <c r="G11" s="21"/>
      <c r="H11" s="21"/>
      <c r="I11" s="21"/>
      <c r="J11" s="21"/>
    </row>
    <row r="12" spans="1:15" ht="15" thickBot="1" x14ac:dyDescent="0.4">
      <c r="A12" s="9">
        <v>5</v>
      </c>
      <c r="B12" s="34" t="s">
        <v>12</v>
      </c>
      <c r="C12" s="11">
        <v>40444</v>
      </c>
      <c r="D12" s="12" t="e">
        <v>#REF!</v>
      </c>
      <c r="E12" s="13" t="e">
        <v>#REF!</v>
      </c>
      <c r="F12" s="11">
        <v>45952</v>
      </c>
      <c r="G12" s="15">
        <f>(H12*100000)/F12</f>
        <v>2.1209908165041784</v>
      </c>
      <c r="H12" s="13">
        <f>0.9746377</f>
        <v>0.97463770000000005</v>
      </c>
      <c r="I12" s="17">
        <f>0.9746377</f>
        <v>0.97463770000000005</v>
      </c>
      <c r="J12" s="13">
        <f>H12-I12</f>
        <v>0</v>
      </c>
      <c r="K12" s="18"/>
      <c r="L12" s="6"/>
      <c r="O12" s="19"/>
    </row>
    <row r="13" spans="1:15" ht="15" thickBot="1" x14ac:dyDescent="0.4">
      <c r="A13" s="9"/>
      <c r="B13" s="10"/>
      <c r="C13" s="35"/>
      <c r="D13" s="36"/>
      <c r="E13" s="37"/>
      <c r="F13" s="37"/>
      <c r="G13" s="37"/>
      <c r="H13" s="37"/>
      <c r="I13" s="37"/>
      <c r="J13" s="37"/>
      <c r="K13" s="38"/>
      <c r="L13" s="39"/>
      <c r="M13" s="39"/>
      <c r="N13" s="39"/>
      <c r="O13" s="28"/>
    </row>
    <row r="14" spans="1:15" ht="15" thickBot="1" x14ac:dyDescent="0.4">
      <c r="A14" s="9">
        <v>6</v>
      </c>
      <c r="B14" s="10" t="s">
        <v>38</v>
      </c>
      <c r="C14" s="11">
        <v>40444</v>
      </c>
      <c r="D14" s="12">
        <v>1371.8253140144395</v>
      </c>
      <c r="E14" s="13">
        <v>5.5482102999999992</v>
      </c>
      <c r="F14" s="11">
        <v>45952</v>
      </c>
      <c r="G14" s="15">
        <f>(H14*100000)/F14</f>
        <v>12.073925618036212</v>
      </c>
      <c r="H14" s="13">
        <f>5.5482103</f>
        <v>5.5482103</v>
      </c>
      <c r="I14" s="13">
        <f>5.5482103</f>
        <v>5.5482103</v>
      </c>
      <c r="J14" s="13">
        <f>H14-I14</f>
        <v>0</v>
      </c>
      <c r="K14" s="18"/>
      <c r="L14" s="6"/>
      <c r="O14" s="19"/>
    </row>
    <row r="15" spans="1:15" ht="15" thickBot="1" x14ac:dyDescent="0.4">
      <c r="A15" s="9"/>
      <c r="B15" s="10"/>
      <c r="C15" s="35"/>
      <c r="D15" s="36"/>
      <c r="E15" s="40"/>
      <c r="F15" s="40"/>
      <c r="G15" s="40"/>
      <c r="H15" s="40"/>
      <c r="I15" s="40"/>
      <c r="J15" s="41"/>
      <c r="M15" s="42"/>
      <c r="O15" s="28"/>
    </row>
    <row r="16" spans="1:15" ht="15" thickBot="1" x14ac:dyDescent="0.4">
      <c r="A16" s="9">
        <v>7</v>
      </c>
      <c r="B16" s="10" t="s">
        <v>13</v>
      </c>
      <c r="C16" s="11">
        <v>40444</v>
      </c>
      <c r="D16" s="12" t="e">
        <v>#REF!</v>
      </c>
      <c r="E16" s="13" t="e">
        <v>#REF!</v>
      </c>
      <c r="F16" s="11">
        <v>45952</v>
      </c>
      <c r="G16" s="15">
        <f>(H16*100000)/F16</f>
        <v>1.8290561020194984</v>
      </c>
      <c r="H16" s="13">
        <f>0.84048786</f>
        <v>0.84048785999999998</v>
      </c>
      <c r="I16" s="17">
        <f>60/100</f>
        <v>0.6</v>
      </c>
      <c r="J16" s="13">
        <f>H16-I16</f>
        <v>0.24048786</v>
      </c>
      <c r="K16" s="18"/>
      <c r="L16" s="6"/>
      <c r="O16" s="19"/>
    </row>
    <row r="17" spans="1:15" ht="15" thickBot="1" x14ac:dyDescent="0.4">
      <c r="A17" s="9"/>
      <c r="B17" s="43"/>
      <c r="C17" s="43"/>
      <c r="D17" s="43"/>
      <c r="E17" s="44"/>
      <c r="F17" s="44"/>
      <c r="G17" s="44"/>
      <c r="H17" s="44"/>
      <c r="I17" s="21"/>
      <c r="J17" s="44"/>
      <c r="K17" s="45" t="s">
        <v>16</v>
      </c>
      <c r="L17" s="45"/>
      <c r="M17" s="45"/>
      <c r="O17" s="28"/>
    </row>
    <row r="18" spans="1:15" ht="15" thickBot="1" x14ac:dyDescent="0.4">
      <c r="A18" s="9">
        <v>8</v>
      </c>
      <c r="B18" s="10" t="s">
        <v>14</v>
      </c>
      <c r="C18" s="11">
        <v>40444</v>
      </c>
      <c r="D18" s="12" t="e">
        <v>#REF!</v>
      </c>
      <c r="E18" s="13" t="e">
        <v>#REF!</v>
      </c>
      <c r="F18" s="11">
        <v>45952</v>
      </c>
      <c r="G18" s="15">
        <f>(H18*100000)/F18</f>
        <v>5.0039345839136491</v>
      </c>
      <c r="H18" s="13">
        <f>2.29940802</f>
        <v>2.29940802</v>
      </c>
      <c r="I18" s="26">
        <f>52.95/100</f>
        <v>0.52950000000000008</v>
      </c>
      <c r="J18" s="13">
        <f>H18-I18</f>
        <v>1.7699080199999999</v>
      </c>
      <c r="K18" s="31" t="s">
        <v>14</v>
      </c>
      <c r="L18" s="46">
        <v>3.41201</v>
      </c>
      <c r="M18" s="46">
        <v>3.41201</v>
      </c>
      <c r="N18" s="46">
        <v>0</v>
      </c>
    </row>
    <row r="19" spans="1:15" ht="15" thickBot="1" x14ac:dyDescent="0.4">
      <c r="A19" s="9"/>
      <c r="B19" s="43"/>
      <c r="C19" s="43"/>
      <c r="D19" s="43"/>
      <c r="E19" s="44"/>
      <c r="F19" s="44"/>
      <c r="G19" s="44"/>
      <c r="H19" s="44"/>
      <c r="I19" s="21"/>
      <c r="J19" s="44"/>
      <c r="K19" s="31" t="s">
        <v>15</v>
      </c>
      <c r="L19" s="46">
        <v>1.52881</v>
      </c>
      <c r="M19" s="46">
        <v>1.52881</v>
      </c>
      <c r="N19" s="46">
        <v>0</v>
      </c>
      <c r="O19" s="27"/>
    </row>
    <row r="20" spans="1:15" ht="15" thickBot="1" x14ac:dyDescent="0.4">
      <c r="A20" s="9">
        <v>9</v>
      </c>
      <c r="B20" s="10" t="s">
        <v>15</v>
      </c>
      <c r="C20" s="11">
        <v>40444</v>
      </c>
      <c r="D20" s="12" t="e">
        <v>#REF!</v>
      </c>
      <c r="E20" s="13" t="e">
        <v>#REF!</v>
      </c>
      <c r="F20" s="11">
        <v>45952</v>
      </c>
      <c r="G20" s="15">
        <f>(H20*100000)/F20</f>
        <v>3.3526997736768798</v>
      </c>
      <c r="H20" s="13">
        <f>1.5406326</f>
        <v>1.5406325999999999</v>
      </c>
      <c r="I20" s="26">
        <f>1.54</f>
        <v>1.54</v>
      </c>
      <c r="J20" s="13">
        <f>H20-I20</f>
        <v>6.3259999999987215E-4</v>
      </c>
      <c r="K20" s="7" t="s">
        <v>18</v>
      </c>
      <c r="L20" s="46">
        <v>7.28E-3</v>
      </c>
      <c r="M20" s="46">
        <v>7.28E-3</v>
      </c>
      <c r="N20" s="46">
        <v>0</v>
      </c>
      <c r="O20" s="27"/>
    </row>
    <row r="21" spans="1:15" ht="15" thickBot="1" x14ac:dyDescent="0.4">
      <c r="A21" s="9"/>
      <c r="B21" s="43"/>
      <c r="C21" s="20"/>
      <c r="D21" s="20"/>
      <c r="E21" s="21"/>
      <c r="F21" s="21"/>
      <c r="G21" s="21"/>
      <c r="H21" s="21"/>
      <c r="I21" s="21"/>
      <c r="J21" s="21"/>
      <c r="K21" s="7" t="s">
        <v>19</v>
      </c>
      <c r="L21" s="46">
        <v>0</v>
      </c>
      <c r="M21" s="46">
        <v>0</v>
      </c>
      <c r="N21" s="46">
        <v>0</v>
      </c>
    </row>
    <row r="22" spans="1:15" ht="15" thickBot="1" x14ac:dyDescent="0.4">
      <c r="A22" s="9">
        <v>10</v>
      </c>
      <c r="B22" s="7" t="s">
        <v>17</v>
      </c>
      <c r="C22" s="11">
        <v>40444</v>
      </c>
      <c r="D22" s="12" t="e">
        <v>#REF!</v>
      </c>
      <c r="E22" s="13" t="e">
        <v>#REF!</v>
      </c>
      <c r="F22" s="11">
        <v>45952</v>
      </c>
      <c r="G22" s="15">
        <f>(H22*100000)/F22</f>
        <v>4.5457881267409475</v>
      </c>
      <c r="H22" s="13">
        <f>2.08888056</f>
        <v>2.0888805600000002</v>
      </c>
      <c r="I22" s="13">
        <f>0.5382</f>
        <v>0.53820000000000001</v>
      </c>
      <c r="J22" s="13">
        <f>H22-I22</f>
        <v>1.5506805600000002</v>
      </c>
      <c r="K22" s="8" t="s">
        <v>20</v>
      </c>
      <c r="L22" s="47">
        <v>11.957824999999998</v>
      </c>
      <c r="M22" s="47">
        <v>11.957824999999998</v>
      </c>
      <c r="N22" s="47">
        <v>0</v>
      </c>
    </row>
    <row r="23" spans="1:15" ht="15" thickBot="1" x14ac:dyDescent="0.4">
      <c r="A23" s="9"/>
      <c r="B23" s="7"/>
      <c r="C23" s="35"/>
      <c r="D23" s="36"/>
      <c r="E23" s="37"/>
      <c r="F23" s="37"/>
      <c r="G23" s="37"/>
      <c r="H23" s="37"/>
      <c r="I23" s="37"/>
      <c r="J23" s="37"/>
      <c r="K23" s="1"/>
      <c r="L23" s="1"/>
      <c r="M23" s="1"/>
      <c r="N23" s="1"/>
    </row>
    <row r="24" spans="1:15" ht="15" thickBot="1" x14ac:dyDescent="0.4">
      <c r="A24" s="9">
        <v>11</v>
      </c>
      <c r="B24" s="32" t="s">
        <v>40</v>
      </c>
      <c r="C24" s="11">
        <v>40444</v>
      </c>
      <c r="D24" s="12" t="e">
        <v>#REF!</v>
      </c>
      <c r="E24" s="13" t="e">
        <v>#REF!</v>
      </c>
      <c r="F24" s="11">
        <v>45952</v>
      </c>
      <c r="G24" s="15">
        <f>(H24*100000)/F24</f>
        <v>5.9435001958565463</v>
      </c>
      <c r="H24" s="13">
        <f>2.73115721</f>
        <v>2.7311572100000001</v>
      </c>
      <c r="I24" s="13">
        <f>161.45/100</f>
        <v>1.6144999999999998</v>
      </c>
      <c r="J24" s="13">
        <f>H24-I24</f>
        <v>1.1166572100000003</v>
      </c>
      <c r="K24" s="7" t="s">
        <v>30</v>
      </c>
      <c r="L24" s="46">
        <v>2.5000000000000001E-2</v>
      </c>
      <c r="M24" s="1"/>
      <c r="N24" s="1"/>
    </row>
    <row r="25" spans="1:15" ht="15" thickBot="1" x14ac:dyDescent="0.4">
      <c r="A25" s="9"/>
      <c r="B25" s="48"/>
      <c r="C25" s="35"/>
      <c r="D25" s="36"/>
      <c r="E25" s="49"/>
      <c r="F25" s="49"/>
      <c r="G25" s="49"/>
      <c r="H25" s="49"/>
      <c r="I25" s="50"/>
      <c r="J25" s="51"/>
      <c r="K25" s="7" t="s">
        <v>31</v>
      </c>
      <c r="L25" s="46">
        <v>0.01</v>
      </c>
      <c r="M25" s="1"/>
      <c r="N25" s="1"/>
    </row>
    <row r="26" spans="1:15" ht="15" thickBot="1" x14ac:dyDescent="0.4">
      <c r="A26" s="9">
        <v>12</v>
      </c>
      <c r="B26" s="52" t="s">
        <v>41</v>
      </c>
      <c r="C26" s="11">
        <v>40444</v>
      </c>
      <c r="D26" s="12" t="e">
        <v>#REF!</v>
      </c>
      <c r="E26" s="13" t="e">
        <v>#REF!</v>
      </c>
      <c r="F26" s="11">
        <v>45952</v>
      </c>
      <c r="G26" s="15">
        <f>(H26*100000)/F26</f>
        <v>3.2757718662952651</v>
      </c>
      <c r="H26" s="13">
        <f>1.505282688</f>
        <v>1.5052826880000001</v>
      </c>
      <c r="I26" s="26">
        <f>0.5845</f>
        <v>0.58450000000000002</v>
      </c>
      <c r="J26" s="13">
        <f>H26-I26</f>
        <v>0.92078268800000007</v>
      </c>
      <c r="K26" s="7" t="s">
        <v>32</v>
      </c>
      <c r="L26" s="46">
        <v>1E-3</v>
      </c>
      <c r="M26" s="1"/>
      <c r="N26" s="1"/>
    </row>
    <row r="27" spans="1:15" ht="15" thickBot="1" x14ac:dyDescent="0.4">
      <c r="A27" s="9"/>
      <c r="B27" s="53"/>
      <c r="C27" s="24"/>
      <c r="D27" s="24"/>
      <c r="E27" s="25"/>
      <c r="F27" s="25"/>
      <c r="G27" s="25"/>
      <c r="H27" s="25"/>
      <c r="I27" s="54"/>
      <c r="J27" s="25"/>
      <c r="K27" s="7" t="s">
        <v>33</v>
      </c>
      <c r="L27" s="46">
        <v>1.4999999999999999E-2</v>
      </c>
      <c r="M27" s="1"/>
      <c r="N27" s="1"/>
    </row>
    <row r="28" spans="1:15" ht="29.4" thickBot="1" x14ac:dyDescent="0.4">
      <c r="A28" s="9">
        <v>13</v>
      </c>
      <c r="B28" s="55" t="s">
        <v>58</v>
      </c>
      <c r="C28" s="11">
        <v>40444</v>
      </c>
      <c r="D28" s="12" t="e">
        <v>#REF!</v>
      </c>
      <c r="E28" s="13" t="e">
        <v>#REF!</v>
      </c>
      <c r="F28" s="11">
        <v>45952</v>
      </c>
      <c r="G28" s="15">
        <f>(H28*100000)/F28</f>
        <v>1.2469096935933148</v>
      </c>
      <c r="H28" s="13">
        <f>0.5729799424</f>
        <v>0.57297994240000005</v>
      </c>
      <c r="I28" s="26">
        <f>0*100</f>
        <v>0</v>
      </c>
      <c r="J28" s="13">
        <f>H28-I28</f>
        <v>0.57297994240000005</v>
      </c>
      <c r="K28" s="7"/>
      <c r="L28" s="46"/>
      <c r="M28" s="1"/>
      <c r="N28" s="1"/>
    </row>
    <row r="29" spans="1:15" ht="15" thickBot="1" x14ac:dyDescent="0.4">
      <c r="A29" s="9"/>
      <c r="B29" s="53"/>
      <c r="C29" s="24"/>
      <c r="D29" s="24"/>
      <c r="E29" s="25"/>
      <c r="F29" s="25"/>
      <c r="G29" s="25"/>
      <c r="H29" s="25"/>
      <c r="I29" s="54"/>
      <c r="J29" s="25"/>
      <c r="K29" s="8" t="s">
        <v>20</v>
      </c>
      <c r="L29" s="47">
        <v>0.10100000000000001</v>
      </c>
      <c r="M29" s="1"/>
      <c r="N29" s="1"/>
    </row>
    <row r="30" spans="1:15" ht="15" thickBot="1" x14ac:dyDescent="0.4">
      <c r="A30" s="9">
        <v>14</v>
      </c>
      <c r="B30" s="52" t="s">
        <v>44</v>
      </c>
      <c r="C30" s="11">
        <v>40444</v>
      </c>
      <c r="D30" s="12" t="e">
        <v>#REF!</v>
      </c>
      <c r="E30" s="13" t="e">
        <v>#REF!</v>
      </c>
      <c r="F30" s="11">
        <v>45952</v>
      </c>
      <c r="G30" s="15">
        <f>(H30*100000)/F30</f>
        <v>34.324409166086348</v>
      </c>
      <c r="H30" s="13">
        <f>15.7727525</f>
        <v>15.772752499999999</v>
      </c>
      <c r="I30" s="26">
        <f>12.68</f>
        <v>12.68</v>
      </c>
      <c r="J30" s="13">
        <f>H30-I30</f>
        <v>3.0927524999999996</v>
      </c>
      <c r="K30" s="1"/>
      <c r="L30" s="1"/>
      <c r="M30" s="1"/>
      <c r="N30" s="1"/>
    </row>
    <row r="31" spans="1:15" ht="13.5" customHeight="1" thickBot="1" x14ac:dyDescent="0.4">
      <c r="A31" s="9"/>
      <c r="B31" s="56"/>
      <c r="C31" s="20"/>
      <c r="D31" s="43"/>
      <c r="E31" s="44"/>
      <c r="F31" s="44"/>
      <c r="G31" s="57"/>
      <c r="H31" s="44"/>
      <c r="I31" s="26"/>
      <c r="J31" s="44"/>
      <c r="K31" s="1"/>
      <c r="L31" s="1"/>
      <c r="M31" s="1"/>
      <c r="N31" s="1"/>
    </row>
    <row r="32" spans="1:15" ht="15" thickBot="1" x14ac:dyDescent="0.4">
      <c r="A32" s="9">
        <v>15</v>
      </c>
      <c r="B32" s="48" t="s">
        <v>21</v>
      </c>
      <c r="C32" s="11">
        <v>40444</v>
      </c>
      <c r="D32" s="12" t="e">
        <v>#REF!</v>
      </c>
      <c r="E32" s="13" t="e">
        <v>#REF!</v>
      </c>
      <c r="F32" s="11">
        <v>45952</v>
      </c>
      <c r="G32" s="15">
        <f>(H32*100000)/F32</f>
        <v>10.989728412256268</v>
      </c>
      <c r="H32" s="13">
        <f>5.05</f>
        <v>5.05</v>
      </c>
      <c r="I32" s="13">
        <f>0.6433</f>
        <v>0.64329999999999998</v>
      </c>
      <c r="J32" s="13">
        <f>H32-I32</f>
        <v>4.4066999999999998</v>
      </c>
      <c r="K32" s="45"/>
      <c r="L32" s="45"/>
      <c r="M32" s="45"/>
    </row>
    <row r="33" spans="1:18" ht="10.5" customHeight="1" thickBot="1" x14ac:dyDescent="0.4">
      <c r="A33" s="9"/>
      <c r="B33" s="48"/>
      <c r="C33" s="35"/>
      <c r="D33" s="36"/>
      <c r="E33" s="58"/>
      <c r="F33" s="35"/>
      <c r="G33" s="59"/>
      <c r="H33" s="49"/>
      <c r="I33" s="50"/>
      <c r="J33" s="51"/>
      <c r="K33" s="45"/>
      <c r="L33" s="45"/>
      <c r="M33" s="45"/>
    </row>
    <row r="34" spans="1:18" ht="15" thickBot="1" x14ac:dyDescent="0.4">
      <c r="A34" s="9">
        <v>16</v>
      </c>
      <c r="B34" s="48" t="s">
        <v>34</v>
      </c>
      <c r="C34" s="11">
        <v>40444</v>
      </c>
      <c r="D34" s="12" t="e">
        <v>#REF!</v>
      </c>
      <c r="E34" s="13" t="e">
        <v>#REF!</v>
      </c>
      <c r="F34" s="11">
        <v>45952</v>
      </c>
      <c r="G34" s="15">
        <f>(H34*100000)/F34</f>
        <v>17.378242265842619</v>
      </c>
      <c r="H34" s="13">
        <f>7.985649886</f>
        <v>7.985649886</v>
      </c>
      <c r="I34" s="13">
        <f>460.67/100</f>
        <v>4.6067</v>
      </c>
      <c r="J34" s="13">
        <f>H34-I34</f>
        <v>3.378949886</v>
      </c>
      <c r="K34" s="45"/>
      <c r="L34" s="45"/>
      <c r="M34" s="45"/>
    </row>
    <row r="35" spans="1:18" ht="10.5" customHeight="1" thickBot="1" x14ac:dyDescent="0.4">
      <c r="A35" s="9"/>
      <c r="B35" s="48"/>
      <c r="C35" s="35"/>
      <c r="D35" s="36"/>
      <c r="E35" s="58"/>
      <c r="F35" s="35"/>
      <c r="G35" s="59"/>
      <c r="H35" s="49"/>
      <c r="I35" s="50"/>
      <c r="J35" s="51"/>
      <c r="K35" s="45"/>
      <c r="L35" s="45"/>
      <c r="M35" s="45"/>
    </row>
    <row r="36" spans="1:18" ht="15" thickBot="1" x14ac:dyDescent="0.4">
      <c r="A36" s="9">
        <v>17</v>
      </c>
      <c r="B36" s="60" t="s">
        <v>25</v>
      </c>
      <c r="C36" s="61">
        <v>40444</v>
      </c>
      <c r="D36" s="12">
        <v>37.088319651864303</v>
      </c>
      <c r="E36" s="13">
        <v>0.15</v>
      </c>
      <c r="F36" s="11">
        <v>45952</v>
      </c>
      <c r="G36" s="15">
        <f>(H36*100000)/F36</f>
        <v>0.91399721448467963</v>
      </c>
      <c r="H36" s="13">
        <f>0.42</f>
        <v>0.42</v>
      </c>
      <c r="I36" s="26">
        <f>0.42</f>
        <v>0.42</v>
      </c>
      <c r="J36" s="13">
        <f>H36-I36</f>
        <v>0</v>
      </c>
      <c r="K36" s="45"/>
      <c r="L36" s="45"/>
      <c r="M36" s="45"/>
    </row>
    <row r="37" spans="1:18" ht="10.5" customHeight="1" thickBot="1" x14ac:dyDescent="0.4">
      <c r="A37" s="9"/>
      <c r="B37" s="48"/>
      <c r="C37" s="35"/>
      <c r="D37" s="36"/>
      <c r="E37" s="44"/>
      <c r="F37" s="35"/>
      <c r="G37" s="59"/>
      <c r="H37" s="49"/>
      <c r="I37" s="50"/>
      <c r="J37" s="51"/>
      <c r="K37" s="45"/>
      <c r="L37" s="45"/>
      <c r="M37" s="45"/>
    </row>
    <row r="38" spans="1:18" ht="15" thickBot="1" x14ac:dyDescent="0.4">
      <c r="A38" s="9">
        <v>18</v>
      </c>
      <c r="B38" s="48" t="s">
        <v>23</v>
      </c>
      <c r="C38" s="11">
        <v>40444</v>
      </c>
      <c r="D38" s="12" t="e">
        <v>#REF!</v>
      </c>
      <c r="E38" s="13" t="e">
        <v>#REF!</v>
      </c>
      <c r="F38" s="11">
        <v>45952</v>
      </c>
      <c r="G38" s="15">
        <f>(H38*100000)/F38</f>
        <v>8.0518802228412252</v>
      </c>
      <c r="H38" s="13">
        <f>3.7</f>
        <v>3.7</v>
      </c>
      <c r="I38" s="26">
        <f>(2.6606+0.95)</f>
        <v>3.6105999999999998</v>
      </c>
      <c r="J38" s="13">
        <f>H38-I38</f>
        <v>8.9400000000000368E-2</v>
      </c>
      <c r="K38" s="45"/>
      <c r="L38" s="45"/>
      <c r="M38" s="45"/>
    </row>
    <row r="39" spans="1:18" ht="15" thickBot="1" x14ac:dyDescent="0.4">
      <c r="A39" s="9"/>
      <c r="B39" s="48"/>
      <c r="C39" s="35"/>
      <c r="D39" s="36"/>
      <c r="E39" s="58"/>
      <c r="F39" s="35"/>
      <c r="G39" s="59"/>
      <c r="H39" s="49"/>
      <c r="I39" s="50"/>
      <c r="J39" s="51"/>
      <c r="K39" s="45"/>
      <c r="L39" s="45"/>
      <c r="M39" s="45"/>
    </row>
    <row r="40" spans="1:18" ht="15" thickBot="1" x14ac:dyDescent="0.4">
      <c r="A40" s="62">
        <v>19</v>
      </c>
      <c r="B40" s="60" t="s">
        <v>22</v>
      </c>
      <c r="C40" s="11">
        <v>40444</v>
      </c>
      <c r="D40" s="63" t="e">
        <v>#REF!</v>
      </c>
      <c r="E40" s="16" t="e">
        <v>#REF!</v>
      </c>
      <c r="F40" s="11">
        <v>45952</v>
      </c>
      <c r="G40" s="15">
        <f>(H40*100000)/F40</f>
        <v>3.2177054317548746</v>
      </c>
      <c r="H40" s="16">
        <f>1.4786</f>
        <v>1.4785999999999999</v>
      </c>
      <c r="I40" s="26">
        <f>0.48</f>
        <v>0.48</v>
      </c>
      <c r="J40" s="13">
        <f>H40-I40</f>
        <v>0.99859999999999993</v>
      </c>
      <c r="K40" s="45"/>
      <c r="L40" s="45"/>
      <c r="M40" s="45"/>
    </row>
    <row r="41" spans="1:18" ht="10.5" customHeight="1" thickBot="1" x14ac:dyDescent="0.4">
      <c r="A41" s="9"/>
      <c r="B41" s="48"/>
      <c r="C41" s="64"/>
      <c r="D41" s="34"/>
      <c r="E41" s="65"/>
      <c r="F41" s="65"/>
      <c r="G41" s="66"/>
      <c r="H41" s="65"/>
      <c r="I41" s="67"/>
      <c r="J41" s="65"/>
      <c r="K41" s="45"/>
      <c r="L41" s="45"/>
      <c r="M41" s="45"/>
    </row>
    <row r="42" spans="1:18" ht="15" thickBot="1" x14ac:dyDescent="0.4">
      <c r="A42" s="9">
        <v>20</v>
      </c>
      <c r="B42" s="48" t="s">
        <v>24</v>
      </c>
      <c r="C42" s="61">
        <v>40444</v>
      </c>
      <c r="D42" s="68" t="e">
        <v>#REF!</v>
      </c>
      <c r="E42" s="13" t="e">
        <v>#REF!</v>
      </c>
      <c r="F42" s="11">
        <v>45952</v>
      </c>
      <c r="G42" s="15">
        <f>(H42*100000)/F42</f>
        <v>10.837395543175489</v>
      </c>
      <c r="H42" s="13">
        <f>4.98</f>
        <v>4.9800000000000004</v>
      </c>
      <c r="I42" s="13">
        <f>2.61</f>
        <v>2.61</v>
      </c>
      <c r="J42" s="13">
        <f>H42-I42</f>
        <v>2.3700000000000006</v>
      </c>
      <c r="K42" s="45"/>
      <c r="L42" s="45"/>
      <c r="M42" s="45"/>
    </row>
    <row r="43" spans="1:18" ht="15" thickBot="1" x14ac:dyDescent="0.4">
      <c r="A43" s="9"/>
      <c r="B43" s="48"/>
      <c r="C43" s="64"/>
      <c r="D43" s="34"/>
      <c r="E43" s="65"/>
      <c r="F43" s="65"/>
      <c r="G43" s="66"/>
      <c r="H43" s="65"/>
      <c r="I43" s="67"/>
      <c r="J43" s="65"/>
      <c r="K43" s="45"/>
      <c r="L43" s="45"/>
      <c r="M43" s="45"/>
    </row>
    <row r="44" spans="1:18" ht="15" thickBot="1" x14ac:dyDescent="0.4">
      <c r="A44" s="9">
        <v>21</v>
      </c>
      <c r="B44" s="48" t="s">
        <v>42</v>
      </c>
      <c r="C44" s="11">
        <v>40444</v>
      </c>
      <c r="D44" s="12" t="e">
        <v>#REF!</v>
      </c>
      <c r="E44" s="12" t="e">
        <v>#REF!</v>
      </c>
      <c r="F44" s="11">
        <v>45952</v>
      </c>
      <c r="G44" s="15">
        <f>(H44*100000)/F44</f>
        <v>5.4704909470752083</v>
      </c>
      <c r="H44" s="12">
        <f>2.5138</f>
        <v>2.5137999999999998</v>
      </c>
      <c r="I44" s="69">
        <f>251.38/100</f>
        <v>2.5137999999999998</v>
      </c>
      <c r="J44" s="13">
        <f>H44-I44</f>
        <v>0</v>
      </c>
      <c r="L44" s="45"/>
      <c r="M44" s="45"/>
      <c r="N44" s="19"/>
    </row>
    <row r="45" spans="1:18" s="28" customFormat="1" ht="14.25" customHeight="1" thickBot="1" x14ac:dyDescent="0.4">
      <c r="A45" s="9"/>
      <c r="B45" s="56"/>
      <c r="C45" s="70"/>
      <c r="D45" s="70"/>
      <c r="E45" s="71"/>
      <c r="F45" s="71"/>
      <c r="G45" s="72"/>
      <c r="H45" s="71"/>
      <c r="I45" s="71"/>
      <c r="J45" s="71"/>
      <c r="K45" s="42"/>
      <c r="L45" s="42"/>
      <c r="M45" s="42"/>
      <c r="O45" s="1"/>
    </row>
    <row r="46" spans="1:18" s="28" customFormat="1" ht="15" thickBot="1" x14ac:dyDescent="0.4">
      <c r="A46" s="9"/>
      <c r="B46" s="7" t="s">
        <v>26</v>
      </c>
      <c r="C46" s="61">
        <v>40444</v>
      </c>
      <c r="D46" s="12" t="e">
        <v>#REF!</v>
      </c>
      <c r="E46" s="13" t="e">
        <v>#REF!</v>
      </c>
      <c r="F46" s="73">
        <v>45952</v>
      </c>
      <c r="G46" s="15">
        <f>(H46*100000)/F46</f>
        <v>226.87256107764634</v>
      </c>
      <c r="H46" s="13">
        <f>SUM(H4:H45)</f>
        <v>104.25247926640003</v>
      </c>
      <c r="I46" s="13">
        <f>SUM(I4:I44)</f>
        <v>60.730038000000008</v>
      </c>
      <c r="J46" s="13">
        <f>H46-I46</f>
        <v>43.522441266400023</v>
      </c>
      <c r="L46" s="42"/>
      <c r="M46" s="42"/>
      <c r="O46" s="1"/>
    </row>
    <row r="47" spans="1:18" s="28" customFormat="1" x14ac:dyDescent="0.35">
      <c r="A47" s="1"/>
      <c r="B47" s="1"/>
      <c r="C47" s="1"/>
      <c r="D47" s="1"/>
      <c r="E47" s="27"/>
      <c r="F47" s="27"/>
      <c r="G47" s="27"/>
      <c r="H47" s="27"/>
      <c r="I47" s="42"/>
      <c r="J47" s="27"/>
      <c r="L47" s="45"/>
      <c r="M47" s="45"/>
      <c r="O47" s="1"/>
    </row>
    <row r="48" spans="1:18" s="28" customFormat="1" x14ac:dyDescent="0.35">
      <c r="A48" s="27"/>
      <c r="B48" s="30" t="s">
        <v>29</v>
      </c>
      <c r="C48" s="30"/>
      <c r="D48" s="30"/>
      <c r="E48" s="30"/>
      <c r="F48" s="74">
        <v>45952</v>
      </c>
      <c r="G48" s="30">
        <v>24280</v>
      </c>
      <c r="H48" s="31">
        <f>(F48*G48)/10000000</f>
        <v>111.571456</v>
      </c>
      <c r="I48" s="42"/>
      <c r="J48" s="27"/>
      <c r="L48" s="42"/>
      <c r="M48" s="42"/>
      <c r="O48" s="1"/>
      <c r="P48" s="1"/>
      <c r="Q48" s="1"/>
      <c r="R48" s="1"/>
    </row>
    <row r="49" spans="1:14" x14ac:dyDescent="0.35">
      <c r="A49" s="27"/>
      <c r="B49" s="30" t="s">
        <v>27</v>
      </c>
      <c r="C49" s="30"/>
      <c r="D49" s="30"/>
      <c r="E49" s="30"/>
      <c r="F49" s="30"/>
      <c r="G49" s="30">
        <v>21000</v>
      </c>
      <c r="H49" s="31">
        <f>H48-H46</f>
        <v>7.3189767335999676</v>
      </c>
      <c r="K49" s="42"/>
      <c r="L49" s="1"/>
      <c r="M49" s="1"/>
      <c r="N49" s="1"/>
    </row>
    <row r="50" spans="1:14" x14ac:dyDescent="0.35">
      <c r="A50" s="27"/>
      <c r="B50" s="30" t="s">
        <v>43</v>
      </c>
      <c r="C50" s="30"/>
      <c r="D50" s="30"/>
      <c r="E50" s="30"/>
      <c r="F50" s="30"/>
      <c r="G50" s="30">
        <v>7349.9999999999991</v>
      </c>
      <c r="H50" s="31">
        <f>H49*0.35</f>
        <v>2.5616418567599886</v>
      </c>
      <c r="K50" s="42"/>
      <c r="L50" s="1"/>
      <c r="M50" s="1"/>
      <c r="N50" s="1"/>
    </row>
    <row r="51" spans="1:14" x14ac:dyDescent="0.35">
      <c r="A51" s="27"/>
      <c r="B51" s="30" t="s">
        <v>28</v>
      </c>
      <c r="C51" s="30"/>
      <c r="D51" s="30"/>
      <c r="E51" s="30"/>
      <c r="F51" s="30"/>
      <c r="G51" s="30">
        <v>13650</v>
      </c>
      <c r="H51" s="31">
        <f>H49-H50</f>
        <v>4.7573348768399786</v>
      </c>
      <c r="L51" s="1"/>
      <c r="M51" s="1"/>
      <c r="N51" s="1"/>
    </row>
    <row r="52" spans="1:14" x14ac:dyDescent="0.35">
      <c r="A52" s="27"/>
      <c r="B52" s="75"/>
      <c r="C52" s="75"/>
      <c r="D52" s="75"/>
      <c r="E52" s="75"/>
      <c r="F52" s="75"/>
      <c r="G52" s="75"/>
      <c r="H52" s="45"/>
      <c r="L52" s="1"/>
      <c r="M52" s="1"/>
      <c r="N52" s="1"/>
    </row>
    <row r="53" spans="1:14" x14ac:dyDescent="0.35">
      <c r="L53" s="1"/>
      <c r="M53" s="1"/>
      <c r="N53" s="1"/>
    </row>
    <row r="54" spans="1:14" x14ac:dyDescent="0.35">
      <c r="L54" s="1"/>
      <c r="M54" s="1"/>
      <c r="N54" s="1"/>
    </row>
    <row r="55" spans="1:14" x14ac:dyDescent="0.35">
      <c r="L55" s="1"/>
      <c r="M55" s="1"/>
      <c r="N55" s="1"/>
    </row>
  </sheetData>
  <mergeCells count="3">
    <mergeCell ref="A1:J1"/>
    <mergeCell ref="C2:E2"/>
    <mergeCell ref="F2:H2"/>
  </mergeCells>
  <pageMargins left="0.27559055118110237" right="0.27559055118110237" top="0.27559055118110237" bottom="0.27559055118110237" header="0.23622047244094491" footer="0.23622047244094491"/>
  <pageSetup paperSize="9" scale="9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D659-DF7B-4AE2-937F-EC063F675FFA}">
  <sheetPr>
    <tabColor rgb="FF92D050"/>
    <pageSetUpPr fitToPage="1"/>
  </sheetPr>
  <dimension ref="A1:Y67"/>
  <sheetViews>
    <sheetView tabSelected="1" view="pageBreakPreview" zoomScale="71" zoomScaleNormal="57" zoomScaleSheetLayoutView="57" workbookViewId="0">
      <pane ySplit="4" topLeftCell="A31" activePane="bottomLeft" state="frozen"/>
      <selection pane="bottomLeft" activeCell="K6" sqref="K6"/>
    </sheetView>
  </sheetViews>
  <sheetFormatPr defaultColWidth="9.109375" defaultRowHeight="14.4" x14ac:dyDescent="0.3"/>
  <cols>
    <col min="1" max="1" width="4.88671875" style="78" bestFit="1" customWidth="1"/>
    <col min="2" max="2" width="51.109375" style="119" customWidth="1"/>
    <col min="3" max="4" width="18.6640625" style="119" customWidth="1"/>
    <col min="5" max="14" width="15.109375" style="119" customWidth="1"/>
    <col min="15" max="15" width="18.6640625" style="119" customWidth="1"/>
    <col min="16" max="16" width="45.5546875" style="78" customWidth="1"/>
    <col min="17" max="17" width="1.88671875" style="78" customWidth="1"/>
    <col min="18" max="18" width="12" style="78" customWidth="1"/>
    <col min="19" max="16384" width="9.109375" style="78"/>
  </cols>
  <sheetData>
    <row r="1" spans="1:19" ht="23.4" x14ac:dyDescent="0.45">
      <c r="A1" s="76">
        <v>3</v>
      </c>
      <c r="B1" s="76" t="s">
        <v>59</v>
      </c>
      <c r="C1" s="155" t="s">
        <v>89</v>
      </c>
      <c r="D1" s="155"/>
      <c r="E1" s="155"/>
      <c r="F1" s="155"/>
      <c r="G1" s="155"/>
      <c r="H1" s="156" t="s">
        <v>90</v>
      </c>
      <c r="I1" s="157"/>
      <c r="J1" s="157"/>
      <c r="K1" s="157"/>
      <c r="L1" s="157"/>
      <c r="M1" s="157"/>
      <c r="N1" s="77"/>
      <c r="O1" s="147" t="s">
        <v>91</v>
      </c>
    </row>
    <row r="2" spans="1:19" ht="52.2" x14ac:dyDescent="0.4">
      <c r="A2" s="79" t="s">
        <v>45</v>
      </c>
      <c r="B2" s="80" t="s">
        <v>5</v>
      </c>
      <c r="C2" s="152" t="s">
        <v>60</v>
      </c>
      <c r="D2" s="152" t="s">
        <v>81</v>
      </c>
      <c r="E2" s="127" t="s">
        <v>61</v>
      </c>
      <c r="F2" s="127" t="s">
        <v>46</v>
      </c>
      <c r="G2" s="127" t="s">
        <v>47</v>
      </c>
      <c r="H2" s="137" t="s">
        <v>48</v>
      </c>
      <c r="I2" s="137" t="s">
        <v>49</v>
      </c>
      <c r="J2" s="137" t="s">
        <v>50</v>
      </c>
      <c r="K2" s="137" t="s">
        <v>51</v>
      </c>
      <c r="L2" s="137" t="s">
        <v>52</v>
      </c>
      <c r="M2" s="137" t="s">
        <v>53</v>
      </c>
      <c r="N2" s="81" t="s">
        <v>62</v>
      </c>
      <c r="O2" s="81" t="s">
        <v>57</v>
      </c>
    </row>
    <row r="3" spans="1:19" ht="34.799999999999997" x14ac:dyDescent="0.4">
      <c r="A3" s="79"/>
      <c r="B3" s="80"/>
      <c r="C3" s="153"/>
      <c r="D3" s="153"/>
      <c r="E3" s="127" t="s">
        <v>63</v>
      </c>
      <c r="F3" s="127" t="s">
        <v>64</v>
      </c>
      <c r="G3" s="127" t="s">
        <v>65</v>
      </c>
      <c r="H3" s="137" t="s">
        <v>66</v>
      </c>
      <c r="I3" s="138" t="s">
        <v>67</v>
      </c>
      <c r="J3" s="137" t="s">
        <v>55</v>
      </c>
      <c r="K3" s="137" t="s">
        <v>55</v>
      </c>
      <c r="L3" s="137" t="s">
        <v>55</v>
      </c>
      <c r="M3" s="137" t="s">
        <v>56</v>
      </c>
      <c r="N3" s="81"/>
      <c r="O3" s="81"/>
    </row>
    <row r="4" spans="1:19" ht="39" customHeight="1" x14ac:dyDescent="0.4">
      <c r="A4" s="82"/>
      <c r="B4" s="80"/>
      <c r="C4" s="153"/>
      <c r="D4" s="153"/>
      <c r="E4" s="128" t="s">
        <v>82</v>
      </c>
      <c r="F4" s="128">
        <v>45444</v>
      </c>
      <c r="G4" s="128">
        <v>45474</v>
      </c>
      <c r="H4" s="139">
        <v>45505</v>
      </c>
      <c r="I4" s="139">
        <v>45536</v>
      </c>
      <c r="J4" s="139">
        <v>45566</v>
      </c>
      <c r="K4" s="139">
        <v>45597</v>
      </c>
      <c r="L4" s="139">
        <v>45627</v>
      </c>
      <c r="M4" s="139">
        <v>45658</v>
      </c>
      <c r="N4" s="83"/>
      <c r="O4" s="84"/>
    </row>
    <row r="5" spans="1:19" ht="19.8" x14ac:dyDescent="0.4">
      <c r="A5" s="80"/>
      <c r="B5" s="80" t="s">
        <v>54</v>
      </c>
      <c r="C5" s="154"/>
      <c r="D5" s="154"/>
      <c r="E5" s="128"/>
      <c r="F5" s="128"/>
      <c r="G5" s="128"/>
      <c r="H5" s="139"/>
      <c r="I5" s="139"/>
      <c r="J5" s="139"/>
      <c r="K5" s="139"/>
      <c r="L5" s="139"/>
      <c r="M5" s="139"/>
      <c r="N5" s="83"/>
      <c r="O5" s="84"/>
    </row>
    <row r="6" spans="1:19" ht="23.4" x14ac:dyDescent="0.45">
      <c r="A6" s="85"/>
      <c r="B6" s="86" t="s">
        <v>68</v>
      </c>
      <c r="C6" s="129">
        <v>0</v>
      </c>
      <c r="D6" s="129">
        <f>+C38</f>
        <v>0.44747746800000243</v>
      </c>
      <c r="E6" s="129">
        <f>+D38</f>
        <v>0.60242746800000191</v>
      </c>
      <c r="F6" s="129">
        <f>E38</f>
        <v>0.49242746800000159</v>
      </c>
      <c r="G6" s="129">
        <f t="shared" ref="G6:M6" si="0">F38</f>
        <v>0.99242746800000159</v>
      </c>
      <c r="H6" s="140">
        <f t="shared" si="0"/>
        <v>0.44242746800000132</v>
      </c>
      <c r="I6" s="140">
        <f t="shared" si="0"/>
        <v>0.67716913800000178</v>
      </c>
      <c r="J6" s="140">
        <f t="shared" si="0"/>
        <v>0.87485083799999863</v>
      </c>
      <c r="K6" s="140">
        <f t="shared" si="0"/>
        <v>4.4873743379999977</v>
      </c>
      <c r="L6" s="140">
        <f t="shared" si="0"/>
        <v>2.7273346379999976</v>
      </c>
      <c r="M6" s="140">
        <f t="shared" si="0"/>
        <v>50.997558138000002</v>
      </c>
      <c r="N6" s="87">
        <f>D38</f>
        <v>0.60242746800000191</v>
      </c>
      <c r="O6" s="87">
        <v>0</v>
      </c>
      <c r="P6" s="88"/>
    </row>
    <row r="7" spans="1:19" ht="23.4" x14ac:dyDescent="0.45">
      <c r="A7" s="85"/>
      <c r="B7" s="86"/>
      <c r="C7" s="129"/>
      <c r="D7" s="129"/>
      <c r="E7" s="129"/>
      <c r="F7" s="129"/>
      <c r="G7" s="129"/>
      <c r="H7" s="140"/>
      <c r="I7" s="140"/>
      <c r="J7" s="140"/>
      <c r="K7" s="140"/>
      <c r="L7" s="140"/>
      <c r="M7" s="140"/>
      <c r="N7" s="87"/>
      <c r="O7" s="87"/>
      <c r="P7" s="88"/>
    </row>
    <row r="8" spans="1:19" ht="23.4" x14ac:dyDescent="0.45">
      <c r="A8" s="85"/>
      <c r="B8" s="86" t="s">
        <v>69</v>
      </c>
      <c r="C8" s="129"/>
      <c r="D8" s="129"/>
      <c r="E8" s="129"/>
      <c r="F8" s="130"/>
      <c r="G8" s="129"/>
      <c r="H8" s="140"/>
      <c r="I8" s="140"/>
      <c r="J8" s="140"/>
      <c r="K8" s="140"/>
      <c r="L8" s="140"/>
      <c r="M8" s="140"/>
      <c r="N8" s="87"/>
      <c r="O8" s="87"/>
      <c r="P8" s="88"/>
    </row>
    <row r="9" spans="1:19" ht="47.25" customHeight="1" x14ac:dyDescent="0.45">
      <c r="A9" s="85">
        <v>1</v>
      </c>
      <c r="B9" s="89" t="s">
        <v>70</v>
      </c>
      <c r="C9" s="129">
        <f>45.4537138</f>
        <v>45.453713800000003</v>
      </c>
      <c r="D9" s="129">
        <v>4</v>
      </c>
      <c r="E9" s="129">
        <v>0</v>
      </c>
      <c r="F9" s="129">
        <v>0</v>
      </c>
      <c r="G9" s="129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f>-45.4537-4</f>
        <v>-49.453699999999998</v>
      </c>
      <c r="N9" s="87">
        <f t="shared" ref="N9:N16" si="1">SUM(E9:M9)</f>
        <v>-49.453699999999998</v>
      </c>
      <c r="O9" s="87">
        <f t="shared" ref="O9:O16" si="2">C9+N9+D9</f>
        <v>1.3800000004948743E-5</v>
      </c>
      <c r="P9" s="90"/>
    </row>
    <row r="10" spans="1:19" ht="47.25" customHeight="1" x14ac:dyDescent="0.45">
      <c r="A10" s="85">
        <f t="shared" ref="A10:A15" si="3">+A9+1</f>
        <v>2</v>
      </c>
      <c r="B10" s="91" t="s">
        <v>71</v>
      </c>
      <c r="C10" s="129">
        <v>0</v>
      </c>
      <c r="D10" s="129">
        <f>61.25/100</f>
        <v>0.61250000000000004</v>
      </c>
      <c r="E10" s="129">
        <f>41.5/100</f>
        <v>0.41499999999999998</v>
      </c>
      <c r="F10" s="129">
        <f>141/100</f>
        <v>1.41</v>
      </c>
      <c r="G10" s="129">
        <f>-10/100</f>
        <v>-0.1</v>
      </c>
      <c r="H10" s="140">
        <f>300/100</f>
        <v>3</v>
      </c>
      <c r="I10" s="140">
        <f>1066.25/100</f>
        <v>10.6625</v>
      </c>
      <c r="J10" s="140">
        <v>0</v>
      </c>
      <c r="K10" s="140">
        <v>-4</v>
      </c>
      <c r="L10" s="140">
        <v>0</v>
      </c>
      <c r="M10" s="140">
        <f>-14.0618*1+206.43/100-0.25/100</f>
        <v>-11.999999999999998</v>
      </c>
      <c r="N10" s="87">
        <f t="shared" si="1"/>
        <v>-0.61249999999999893</v>
      </c>
      <c r="O10" s="87">
        <f t="shared" si="2"/>
        <v>1.1102230246251565E-15</v>
      </c>
      <c r="P10" s="88"/>
    </row>
    <row r="11" spans="1:19" ht="47.25" customHeight="1" x14ac:dyDescent="0.45">
      <c r="A11" s="85">
        <f t="shared" si="3"/>
        <v>3</v>
      </c>
      <c r="B11" s="89" t="s">
        <v>83</v>
      </c>
      <c r="C11" s="129">
        <v>0</v>
      </c>
      <c r="D11" s="129">
        <f>373/100</f>
        <v>3.73</v>
      </c>
      <c r="E11" s="131">
        <f>243.5/100</f>
        <v>2.4350000000000001</v>
      </c>
      <c r="F11" s="131">
        <f>93.5/100</f>
        <v>0.93500000000000005</v>
      </c>
      <c r="G11" s="131">
        <f>171/100</f>
        <v>1.71</v>
      </c>
      <c r="H11" s="141">
        <f>10517*20000/10000000*23.2005%</f>
        <v>4.8799931700000005</v>
      </c>
      <c r="I11" s="141">
        <f>10517*20000/10000000*9.98%+0.08/100</f>
        <v>2.0999931999999997</v>
      </c>
      <c r="J11" s="141">
        <v>0</v>
      </c>
      <c r="K11" s="141">
        <f>10517*20000/10000000*15.02%+0.07/100</f>
        <v>3.1600068000000001</v>
      </c>
      <c r="L11" s="141">
        <v>0</v>
      </c>
      <c r="M11" s="141">
        <f>10517*20000/10000000*9.91%-0.05/100</f>
        <v>2.0839694</v>
      </c>
      <c r="N11" s="87">
        <f t="shared" si="1"/>
        <v>17.303962569999999</v>
      </c>
      <c r="O11" s="87">
        <f t="shared" si="2"/>
        <v>21.03396257</v>
      </c>
      <c r="P11" s="90"/>
      <c r="R11" s="92"/>
      <c r="S11" s="93"/>
    </row>
    <row r="12" spans="1:19" ht="47.25" customHeight="1" x14ac:dyDescent="0.45">
      <c r="A12" s="85">
        <f t="shared" si="3"/>
        <v>4</v>
      </c>
      <c r="B12" s="89" t="s">
        <v>84</v>
      </c>
      <c r="C12" s="129">
        <v>0</v>
      </c>
      <c r="D12" s="129">
        <v>0</v>
      </c>
      <c r="E12" s="129">
        <f>68/100</f>
        <v>0.68</v>
      </c>
      <c r="F12" s="129">
        <f>20.5/100</f>
        <v>0.20499999999999999</v>
      </c>
      <c r="G12" s="129">
        <v>0</v>
      </c>
      <c r="H12" s="140">
        <f>681.9*20000/10000000*0.2-0.28/100</f>
        <v>0.26995999999999998</v>
      </c>
      <c r="I12" s="140">
        <v>0</v>
      </c>
      <c r="J12" s="140">
        <v>0</v>
      </c>
      <c r="K12" s="140">
        <f>681.9*20000/10000000*0.05+0.18/100</f>
        <v>6.9989999999999997E-2</v>
      </c>
      <c r="L12" s="140">
        <f>681.9*20000/10000000*0.1+0.37/100</f>
        <v>0.14008000000000001</v>
      </c>
      <c r="M12" s="140">
        <v>0</v>
      </c>
      <c r="N12" s="87">
        <f t="shared" si="1"/>
        <v>1.36503</v>
      </c>
      <c r="O12" s="87">
        <f t="shared" si="2"/>
        <v>1.36503</v>
      </c>
      <c r="P12" s="90"/>
      <c r="R12" s="92"/>
      <c r="S12" s="93"/>
    </row>
    <row r="13" spans="1:19" ht="47.25" customHeight="1" x14ac:dyDescent="0.45">
      <c r="A13" s="85">
        <f t="shared" si="3"/>
        <v>5</v>
      </c>
      <c r="B13" s="89" t="s">
        <v>88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40">
        <v>0</v>
      </c>
      <c r="I13" s="140">
        <v>1</v>
      </c>
      <c r="J13" s="140">
        <f>64.01/100</f>
        <v>0.6401</v>
      </c>
      <c r="K13" s="140">
        <v>0</v>
      </c>
      <c r="L13" s="140">
        <v>10</v>
      </c>
      <c r="M13" s="140">
        <v>10</v>
      </c>
      <c r="N13" s="87">
        <f t="shared" si="1"/>
        <v>21.6401</v>
      </c>
      <c r="O13" s="87">
        <f t="shared" si="2"/>
        <v>21.6401</v>
      </c>
      <c r="P13" s="90"/>
      <c r="R13" s="92"/>
      <c r="S13" s="93"/>
    </row>
    <row r="14" spans="1:19" ht="47.25" customHeight="1" x14ac:dyDescent="0.45">
      <c r="A14" s="85">
        <f t="shared" si="3"/>
        <v>6</v>
      </c>
      <c r="B14" s="89" t="s">
        <v>85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  <c r="H14" s="140">
        <v>0</v>
      </c>
      <c r="I14" s="140">
        <v>0</v>
      </c>
      <c r="J14" s="140">
        <v>0</v>
      </c>
      <c r="K14" s="140">
        <f>7619*21000/10000000*0.25</f>
        <v>3.9999750000000001</v>
      </c>
      <c r="L14" s="140">
        <v>0</v>
      </c>
      <c r="M14" s="140">
        <f>7619*21000/10000000*0.75+0.01/100</f>
        <v>12.000025000000001</v>
      </c>
      <c r="N14" s="87">
        <f t="shared" si="1"/>
        <v>16</v>
      </c>
      <c r="O14" s="87">
        <f t="shared" si="2"/>
        <v>16</v>
      </c>
      <c r="P14" s="90"/>
      <c r="R14" s="92"/>
      <c r="S14" s="93"/>
    </row>
    <row r="15" spans="1:19" ht="47.25" customHeight="1" x14ac:dyDescent="0.45">
      <c r="A15" s="85">
        <f t="shared" si="3"/>
        <v>7</v>
      </c>
      <c r="B15" s="89" t="s">
        <v>86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40">
        <v>0</v>
      </c>
      <c r="I15" s="140">
        <v>0</v>
      </c>
      <c r="J15" s="140">
        <f>23000*21500/10000000*16.83%-0.24/100</f>
        <v>8.320034999999999</v>
      </c>
      <c r="K15" s="140">
        <v>0</v>
      </c>
      <c r="L15" s="140">
        <f>23000*21500/10000000*0.7839+0.26/100</f>
        <v>38.766455000000008</v>
      </c>
      <c r="M15" s="140">
        <f>(23000*21500/10000000)-L15-J15+0.37/100</f>
        <v>2.367209999999996</v>
      </c>
      <c r="N15" s="87">
        <f t="shared" si="1"/>
        <v>49.453699999999998</v>
      </c>
      <c r="O15" s="87">
        <f t="shared" si="2"/>
        <v>49.453699999999998</v>
      </c>
      <c r="P15" s="90"/>
      <c r="R15" s="92"/>
      <c r="S15" s="93"/>
    </row>
    <row r="16" spans="1:19" ht="47.25" customHeight="1" x14ac:dyDescent="0.45">
      <c r="A16" s="85">
        <v>8</v>
      </c>
      <c r="B16" s="89" t="s">
        <v>87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0">
        <f>48911*425/10000000</f>
        <v>2.0787175000000002</v>
      </c>
      <c r="N16" s="87">
        <f t="shared" si="1"/>
        <v>2.0787175000000002</v>
      </c>
      <c r="O16" s="87">
        <f t="shared" si="2"/>
        <v>2.0787175000000002</v>
      </c>
      <c r="P16" s="90"/>
      <c r="R16" s="92"/>
      <c r="S16" s="93"/>
    </row>
    <row r="17" spans="1:18" ht="24" thickBot="1" x14ac:dyDescent="0.5">
      <c r="A17" s="94"/>
      <c r="B17" s="95"/>
      <c r="C17" s="132"/>
      <c r="D17" s="132"/>
      <c r="E17" s="132"/>
      <c r="F17" s="132"/>
      <c r="G17" s="132"/>
      <c r="H17" s="142"/>
      <c r="I17" s="142"/>
      <c r="J17" s="142"/>
      <c r="K17" s="142"/>
      <c r="L17" s="142"/>
      <c r="M17" s="142"/>
      <c r="N17" s="96"/>
      <c r="O17" s="87"/>
      <c r="P17" s="90"/>
    </row>
    <row r="18" spans="1:18" ht="24" thickBot="1" x14ac:dyDescent="0.5">
      <c r="A18" s="97"/>
      <c r="B18" s="98" t="s">
        <v>72</v>
      </c>
      <c r="C18" s="133">
        <f>+SUM(C9:C16)</f>
        <v>45.453713800000003</v>
      </c>
      <c r="D18" s="133">
        <f>+SUM(D9:D16)</f>
        <v>8.3424999999999994</v>
      </c>
      <c r="E18" s="133">
        <f t="shared" ref="E18:L18" si="4">+SUM(E9:E16)</f>
        <v>3.5300000000000002</v>
      </c>
      <c r="F18" s="133">
        <f t="shared" si="4"/>
        <v>2.5499999999999998</v>
      </c>
      <c r="G18" s="133">
        <f t="shared" si="4"/>
        <v>1.6099999999999999</v>
      </c>
      <c r="H18" s="143">
        <f t="shared" si="4"/>
        <v>8.1499531699999999</v>
      </c>
      <c r="I18" s="143">
        <f t="shared" si="4"/>
        <v>13.7624932</v>
      </c>
      <c r="J18" s="143">
        <f t="shared" si="4"/>
        <v>8.9601349999999993</v>
      </c>
      <c r="K18" s="143">
        <f t="shared" si="4"/>
        <v>3.2299718000000004</v>
      </c>
      <c r="L18" s="143">
        <f t="shared" si="4"/>
        <v>48.906535000000005</v>
      </c>
      <c r="M18" s="143">
        <f>+SUM(M9:M16)</f>
        <v>-32.9237781</v>
      </c>
      <c r="N18" s="99">
        <f>SUM(N9:N16)</f>
        <v>57.775310070000003</v>
      </c>
      <c r="O18" s="99">
        <f>+SUM(O9:O16)</f>
        <v>111.57152387000001</v>
      </c>
      <c r="P18" s="90"/>
    </row>
    <row r="19" spans="1:18" ht="24" thickBot="1" x14ac:dyDescent="0.5">
      <c r="A19" s="100"/>
      <c r="B19" s="101"/>
      <c r="C19" s="134"/>
      <c r="D19" s="134"/>
      <c r="E19" s="134"/>
      <c r="F19" s="134"/>
      <c r="G19" s="134"/>
      <c r="H19" s="144"/>
      <c r="I19" s="144"/>
      <c r="J19" s="144"/>
      <c r="K19" s="144"/>
      <c r="L19" s="144"/>
      <c r="M19" s="144"/>
      <c r="N19" s="102"/>
      <c r="O19" s="87"/>
      <c r="P19" s="90"/>
    </row>
    <row r="20" spans="1:18" ht="24" thickBot="1" x14ac:dyDescent="0.5">
      <c r="A20" s="103"/>
      <c r="B20" s="104" t="s">
        <v>73</v>
      </c>
      <c r="C20" s="133">
        <f t="shared" ref="C20:M20" si="5">+C6+C18</f>
        <v>45.453713800000003</v>
      </c>
      <c r="D20" s="133">
        <f>+D6+D18</f>
        <v>8.7899774680000018</v>
      </c>
      <c r="E20" s="135">
        <f t="shared" si="5"/>
        <v>4.1324274680000022</v>
      </c>
      <c r="F20" s="135">
        <f t="shared" si="5"/>
        <v>3.0424274680000014</v>
      </c>
      <c r="G20" s="135">
        <f t="shared" si="5"/>
        <v>2.6024274680000015</v>
      </c>
      <c r="H20" s="145">
        <f t="shared" si="5"/>
        <v>8.5923806380000016</v>
      </c>
      <c r="I20" s="145">
        <f t="shared" si="5"/>
        <v>14.439662338000002</v>
      </c>
      <c r="J20" s="145">
        <f t="shared" si="5"/>
        <v>9.8349858379999979</v>
      </c>
      <c r="K20" s="145">
        <f t="shared" si="5"/>
        <v>7.7173461379999981</v>
      </c>
      <c r="L20" s="145">
        <f t="shared" si="5"/>
        <v>51.633869638</v>
      </c>
      <c r="M20" s="145">
        <f t="shared" si="5"/>
        <v>18.073780038000002</v>
      </c>
      <c r="N20" s="99">
        <f>+N18+N6</f>
        <v>58.377737538000005</v>
      </c>
      <c r="O20" s="105">
        <f>+O6+O18</f>
        <v>111.57152387000001</v>
      </c>
      <c r="P20" s="88"/>
    </row>
    <row r="21" spans="1:18" ht="23.4" x14ac:dyDescent="0.45">
      <c r="A21" s="106"/>
      <c r="B21" s="107"/>
      <c r="C21" s="136"/>
      <c r="D21" s="136"/>
      <c r="E21" s="136"/>
      <c r="F21" s="136"/>
      <c r="G21" s="136"/>
      <c r="H21" s="146"/>
      <c r="I21" s="146"/>
      <c r="J21" s="146"/>
      <c r="K21" s="146"/>
      <c r="L21" s="146"/>
      <c r="M21" s="146"/>
      <c r="N21" s="108"/>
      <c r="O21" s="87"/>
      <c r="P21" s="88"/>
    </row>
    <row r="22" spans="1:18" ht="23.4" x14ac:dyDescent="0.45">
      <c r="A22" s="109"/>
      <c r="B22" s="86" t="s">
        <v>74</v>
      </c>
      <c r="C22" s="129"/>
      <c r="D22" s="129"/>
      <c r="E22" s="129"/>
      <c r="F22" s="129"/>
      <c r="G22" s="129"/>
      <c r="H22" s="140"/>
      <c r="I22" s="140"/>
      <c r="J22" s="140"/>
      <c r="K22" s="140"/>
      <c r="L22" s="140"/>
      <c r="M22" s="140"/>
      <c r="N22" s="87"/>
      <c r="O22" s="87"/>
      <c r="P22" s="88"/>
    </row>
    <row r="23" spans="1:18" ht="61.95" customHeight="1" x14ac:dyDescent="0.45">
      <c r="A23" s="109">
        <f>+A6+1</f>
        <v>1</v>
      </c>
      <c r="B23" s="91" t="str">
        <f>+'[1]3. SHORT BUDGET FOR PKM'!B4</f>
        <v xml:space="preserve">RCC-Material + Nala Cost + Excavation + GST </v>
      </c>
      <c r="C23" s="129">
        <f>9.241831136</f>
        <v>9.2418311360000001</v>
      </c>
      <c r="D23" s="129">
        <f>156.5/100</f>
        <v>1.5649999999999999</v>
      </c>
      <c r="E23" s="129">
        <f>210/100</f>
        <v>2.1</v>
      </c>
      <c r="F23" s="129">
        <v>1.19</v>
      </c>
      <c r="G23" s="129">
        <v>0.78</v>
      </c>
      <c r="H23" s="140">
        <v>1.58</v>
      </c>
      <c r="I23" s="140">
        <v>4.33</v>
      </c>
      <c r="J23" s="140">
        <v>6.7699999999999996E-2</v>
      </c>
      <c r="K23" s="140">
        <v>0</v>
      </c>
      <c r="L23" s="140">
        <v>0</v>
      </c>
      <c r="M23" s="140">
        <v>0</v>
      </c>
      <c r="N23" s="87">
        <f t="shared" ref="N23:N34" si="6">SUM(E23:M23)</f>
        <v>10.047700000000001</v>
      </c>
      <c r="O23" s="87">
        <f t="shared" ref="O23:O34" si="7">C23+N23+D23</f>
        <v>20.854531136000002</v>
      </c>
      <c r="P23" s="90"/>
      <c r="R23" s="110"/>
    </row>
    <row r="24" spans="1:18" ht="40.5" customHeight="1" x14ac:dyDescent="0.45">
      <c r="A24" s="109">
        <f>+A23+1</f>
        <v>2</v>
      </c>
      <c r="B24" s="89" t="str">
        <f>+'[1]3. SHORT BUDGET FOR PKM'!B5</f>
        <v>RCC-labour</v>
      </c>
      <c r="C24" s="129">
        <f>1.33782</f>
        <v>1.33782</v>
      </c>
      <c r="D24" s="129">
        <f>80.5/100</f>
        <v>0.80500000000000005</v>
      </c>
      <c r="E24" s="129">
        <f>56/100</f>
        <v>0.56000000000000005</v>
      </c>
      <c r="F24" s="129">
        <v>0.38</v>
      </c>
      <c r="G24" s="129">
        <v>0.24</v>
      </c>
      <c r="H24" s="140">
        <v>1.29</v>
      </c>
      <c r="I24" s="140">
        <v>3.9</v>
      </c>
      <c r="J24" s="140">
        <v>0</v>
      </c>
      <c r="K24" s="140">
        <v>0</v>
      </c>
      <c r="L24" s="140">
        <v>0</v>
      </c>
      <c r="M24" s="140">
        <v>0</v>
      </c>
      <c r="N24" s="87">
        <f t="shared" si="6"/>
        <v>6.37</v>
      </c>
      <c r="O24" s="87">
        <f t="shared" si="7"/>
        <v>8.5128199999999996</v>
      </c>
      <c r="P24" s="90"/>
      <c r="R24" s="110"/>
    </row>
    <row r="25" spans="1:18" ht="40.5" customHeight="1" x14ac:dyDescent="0.45">
      <c r="A25" s="109">
        <f t="shared" ref="A25:A32" si="8">+A24+1</f>
        <v>3</v>
      </c>
      <c r="B25" s="89" t="str">
        <f>+'[1]3. SHORT BUDGET FOR PKM'!B6</f>
        <v>Finishing Cost - Material</v>
      </c>
      <c r="C25" s="129">
        <v>0</v>
      </c>
      <c r="D25" s="129">
        <v>0.01</v>
      </c>
      <c r="E25" s="129">
        <v>0.04</v>
      </c>
      <c r="F25" s="129">
        <v>0.04</v>
      </c>
      <c r="G25" s="129">
        <v>0.32</v>
      </c>
      <c r="H25" s="140">
        <v>2.9</v>
      </c>
      <c r="I25" s="140">
        <v>3.97</v>
      </c>
      <c r="J25" s="140">
        <v>3.97</v>
      </c>
      <c r="K25" s="140">
        <v>3.69</v>
      </c>
      <c r="L25" s="140">
        <v>0</v>
      </c>
      <c r="M25" s="140">
        <v>0</v>
      </c>
      <c r="N25" s="87">
        <f t="shared" si="6"/>
        <v>14.93</v>
      </c>
      <c r="O25" s="87">
        <f t="shared" si="7"/>
        <v>14.94</v>
      </c>
      <c r="P25" s="90"/>
      <c r="Q25" s="110"/>
      <c r="R25" s="110"/>
    </row>
    <row r="26" spans="1:18" ht="40.5" customHeight="1" x14ac:dyDescent="0.45">
      <c r="A26" s="109">
        <f t="shared" si="8"/>
        <v>4</v>
      </c>
      <c r="B26" s="89" t="str">
        <f>+'[1]3. SHORT BUDGET FOR PKM'!B7</f>
        <v>Finishing Cost - Labour</v>
      </c>
      <c r="C26" s="129">
        <v>0</v>
      </c>
      <c r="D26" s="129">
        <v>0</v>
      </c>
      <c r="E26" s="129">
        <v>0.02</v>
      </c>
      <c r="F26" s="129">
        <v>0.01</v>
      </c>
      <c r="G26" s="129">
        <v>0.03</v>
      </c>
      <c r="H26" s="140">
        <v>1.49</v>
      </c>
      <c r="I26" s="140">
        <v>0.63</v>
      </c>
      <c r="J26" s="140">
        <v>0.63</v>
      </c>
      <c r="K26" s="140">
        <v>0.63</v>
      </c>
      <c r="L26" s="140">
        <v>0</v>
      </c>
      <c r="M26" s="140">
        <v>0</v>
      </c>
      <c r="N26" s="87">
        <f t="shared" si="6"/>
        <v>3.44</v>
      </c>
      <c r="O26" s="87">
        <f t="shared" si="7"/>
        <v>3.44</v>
      </c>
      <c r="P26" s="90"/>
      <c r="Q26" s="110"/>
      <c r="R26" s="110"/>
    </row>
    <row r="27" spans="1:18" ht="40.5" customHeight="1" x14ac:dyDescent="0.45">
      <c r="A27" s="109">
        <f t="shared" si="8"/>
        <v>5</v>
      </c>
      <c r="B27" s="89" t="str">
        <f>+'[1]3. SHORT BUDGET FOR PKM'!B8</f>
        <v>BMC Payments +Property Tax ( LUC)</v>
      </c>
      <c r="C27" s="129">
        <f>7.85046299</f>
        <v>7.8504629899999996</v>
      </c>
      <c r="D27" s="129">
        <v>3.73</v>
      </c>
      <c r="E27" s="129">
        <v>0.16</v>
      </c>
      <c r="F27" s="129">
        <v>0.02</v>
      </c>
      <c r="G27" s="129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f>855.1/100</f>
        <v>8.5510000000000002</v>
      </c>
      <c r="N27" s="87">
        <f t="shared" si="6"/>
        <v>8.7309999999999999</v>
      </c>
      <c r="O27" s="87">
        <f t="shared" si="7"/>
        <v>20.311462989999999</v>
      </c>
      <c r="P27" s="90"/>
      <c r="Q27" s="110"/>
      <c r="R27" s="110"/>
    </row>
    <row r="28" spans="1:18" ht="54.6" customHeight="1" x14ac:dyDescent="0.45">
      <c r="A28" s="109">
        <f t="shared" si="8"/>
        <v>6</v>
      </c>
      <c r="B28" s="89" t="str">
        <f>+'[1]3. SHORT BUDGET FOR PKM'!B9</f>
        <v>Temp Accom, brokerage &amp; Transportation</v>
      </c>
      <c r="C28" s="129">
        <f>12.640947469</f>
        <v>12.640947469</v>
      </c>
      <c r="D28" s="129">
        <v>0.45</v>
      </c>
      <c r="E28" s="129">
        <v>0.43</v>
      </c>
      <c r="F28" s="129">
        <v>0.2</v>
      </c>
      <c r="G28" s="129">
        <v>0.26</v>
      </c>
      <c r="H28" s="140">
        <f>0.2052115+10/100</f>
        <v>0.30521149999999997</v>
      </c>
      <c r="I28" s="140">
        <f>0.2052115+10/100</f>
        <v>0.30521149999999997</v>
      </c>
      <c r="J28" s="140">
        <f>0.2052115+10/100</f>
        <v>0.30521149999999997</v>
      </c>
      <c r="K28" s="140">
        <f>0.2052115+10/100</f>
        <v>0.30521149999999997</v>
      </c>
      <c r="L28" s="140">
        <f>0.2052115+10/100</f>
        <v>0.30521149999999997</v>
      </c>
      <c r="M28" s="140">
        <f>(8.3+18.33)/100</f>
        <v>0.26629999999999998</v>
      </c>
      <c r="N28" s="87">
        <f t="shared" si="6"/>
        <v>2.6823575000000002</v>
      </c>
      <c r="O28" s="87">
        <f t="shared" si="7"/>
        <v>15.773304969</v>
      </c>
      <c r="P28" s="90"/>
      <c r="Q28" s="110"/>
      <c r="R28" s="110"/>
    </row>
    <row r="29" spans="1:18" ht="40.5" customHeight="1" x14ac:dyDescent="0.45">
      <c r="A29" s="109">
        <f t="shared" si="8"/>
        <v>7</v>
      </c>
      <c r="B29" s="89" t="str">
        <f>+'[1]3. SHORT BUDGET FOR PKM'!B10</f>
        <v>Corpus Fund</v>
      </c>
      <c r="C29" s="129">
        <f>0.64328</f>
        <v>0.64327999999999996</v>
      </c>
      <c r="D29" s="129">
        <v>0</v>
      </c>
      <c r="E29" s="129">
        <v>0.04</v>
      </c>
      <c r="F29" s="129">
        <v>7.0000000000000007E-2</v>
      </c>
      <c r="G29" s="129">
        <v>0.36499999999999999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f>203.96/100</f>
        <v>2.0396000000000001</v>
      </c>
      <c r="N29" s="87">
        <f t="shared" si="6"/>
        <v>2.5146000000000002</v>
      </c>
      <c r="O29" s="87">
        <f t="shared" si="7"/>
        <v>3.15788</v>
      </c>
      <c r="P29" s="90"/>
      <c r="Q29" s="110"/>
      <c r="R29" s="110"/>
    </row>
    <row r="30" spans="1:18" ht="40.5" customHeight="1" x14ac:dyDescent="0.45">
      <c r="A30" s="109">
        <f t="shared" si="8"/>
        <v>8</v>
      </c>
      <c r="B30" s="89" t="str">
        <f>+'[1]3. SHORT BUDGET FOR PKM'!B11</f>
        <v xml:space="preserve">Admin cost </v>
      </c>
      <c r="C30" s="129">
        <f>5.974606639</f>
        <v>5.9746066390000001</v>
      </c>
      <c r="D30" s="129">
        <v>1.08</v>
      </c>
      <c r="E30" s="129">
        <v>0.17</v>
      </c>
      <c r="F30" s="129">
        <v>0.08</v>
      </c>
      <c r="G30" s="129">
        <v>8.5000000000000006E-2</v>
      </c>
      <c r="H30" s="140">
        <f>17/100</f>
        <v>0.17</v>
      </c>
      <c r="I30" s="140">
        <v>0.11</v>
      </c>
      <c r="J30" s="140">
        <f>11.47/100</f>
        <v>0.11470000000000001</v>
      </c>
      <c r="K30" s="140">
        <f>11.48/100</f>
        <v>0.1148</v>
      </c>
      <c r="L30" s="140">
        <f>(4+5.03)/100</f>
        <v>9.0300000000000005E-2</v>
      </c>
      <c r="M30" s="140">
        <f>5.09/100</f>
        <v>5.0900000000000001E-2</v>
      </c>
      <c r="N30" s="87">
        <f t="shared" si="6"/>
        <v>0.98570000000000002</v>
      </c>
      <c r="O30" s="87">
        <f t="shared" si="7"/>
        <v>8.0403066390000006</v>
      </c>
      <c r="P30" s="90"/>
      <c r="Q30" s="110"/>
      <c r="R30" s="110"/>
    </row>
    <row r="31" spans="1:18" ht="46.8" x14ac:dyDescent="0.45">
      <c r="A31" s="109">
        <f t="shared" si="8"/>
        <v>9</v>
      </c>
      <c r="B31" s="89" t="str">
        <f>+'[1]3. SHORT BUDGET FOR PKM'!B12</f>
        <v>Bank Gurantee / Interest Cost + Stamp Duty &amp; Registration on DA</v>
      </c>
      <c r="C31" s="129">
        <f>4.430167698</f>
        <v>4.430167698</v>
      </c>
      <c r="D31" s="129">
        <v>0.14000000000000001</v>
      </c>
      <c r="E31" s="129">
        <v>3.5000000000000003E-2</v>
      </c>
      <c r="F31" s="129">
        <v>0.02</v>
      </c>
      <c r="G31" s="129">
        <v>4.4999999999999998E-2</v>
      </c>
      <c r="H31" s="140">
        <v>0.12</v>
      </c>
      <c r="I31" s="140">
        <v>0.13</v>
      </c>
      <c r="J31" s="140">
        <v>0.13</v>
      </c>
      <c r="K31" s="140">
        <v>0.12</v>
      </c>
      <c r="L31" s="140">
        <v>0.1108</v>
      </c>
      <c r="M31" s="140">
        <f>15.37/100</f>
        <v>0.1537</v>
      </c>
      <c r="N31" s="87">
        <f t="shared" si="6"/>
        <v>0.86450000000000005</v>
      </c>
      <c r="O31" s="87">
        <f t="shared" si="7"/>
        <v>5.4346676979999993</v>
      </c>
      <c r="P31" s="111"/>
      <c r="Q31" s="110"/>
      <c r="R31" s="110"/>
    </row>
    <row r="32" spans="1:18" ht="42" customHeight="1" x14ac:dyDescent="0.45">
      <c r="A32" s="109">
        <f t="shared" si="8"/>
        <v>10</v>
      </c>
      <c r="B32" s="89" t="str">
        <f>+'[1]3. SHORT BUDGET FOR PKM'!B13</f>
        <v>Professional Fees</v>
      </c>
      <c r="C32" s="129">
        <f>2.5771204</f>
        <v>2.5771204000000001</v>
      </c>
      <c r="D32" s="129">
        <v>0.26</v>
      </c>
      <c r="E32" s="129">
        <v>8.5000000000000006E-2</v>
      </c>
      <c r="F32" s="129">
        <v>0.04</v>
      </c>
      <c r="G32" s="129">
        <v>3.5000000000000003E-2</v>
      </c>
      <c r="H32" s="140">
        <v>0.06</v>
      </c>
      <c r="I32" s="140">
        <f>18.96/100</f>
        <v>0.18960000000000002</v>
      </c>
      <c r="J32" s="140">
        <v>0.13</v>
      </c>
      <c r="K32" s="140">
        <v>0.13</v>
      </c>
      <c r="L32" s="140">
        <v>0.13</v>
      </c>
      <c r="M32" s="140">
        <f>0.33/100</f>
        <v>3.3E-3</v>
      </c>
      <c r="N32" s="87">
        <f t="shared" si="6"/>
        <v>0.80290000000000006</v>
      </c>
      <c r="O32" s="87">
        <f t="shared" si="7"/>
        <v>3.6400204</v>
      </c>
      <c r="P32" s="90"/>
      <c r="Q32" s="110"/>
      <c r="R32" s="110"/>
    </row>
    <row r="33" spans="1:25" ht="42" customHeight="1" x14ac:dyDescent="0.45">
      <c r="A33" s="109">
        <v>11</v>
      </c>
      <c r="B33" s="89" t="s">
        <v>75</v>
      </c>
      <c r="C33" s="129">
        <f>31/100</f>
        <v>0.31</v>
      </c>
      <c r="D33" s="129">
        <v>0</v>
      </c>
      <c r="E33" s="129">
        <v>0</v>
      </c>
      <c r="F33" s="129">
        <v>0</v>
      </c>
      <c r="G33" s="129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-0.31</v>
      </c>
      <c r="N33" s="87">
        <f t="shared" si="6"/>
        <v>-0.31</v>
      </c>
      <c r="O33" s="87">
        <f t="shared" si="7"/>
        <v>0</v>
      </c>
      <c r="P33" s="90"/>
      <c r="Q33" s="110"/>
      <c r="R33" s="110"/>
    </row>
    <row r="34" spans="1:25" ht="42" customHeight="1" x14ac:dyDescent="0.45">
      <c r="A34" s="109">
        <v>12</v>
      </c>
      <c r="B34" s="89" t="s">
        <v>76</v>
      </c>
      <c r="C34" s="129">
        <v>0</v>
      </c>
      <c r="D34" s="129">
        <f>14.755/100</f>
        <v>0.14755000000000001</v>
      </c>
      <c r="E34" s="129">
        <v>0</v>
      </c>
      <c r="F34" s="129">
        <v>0</v>
      </c>
      <c r="G34" s="129">
        <v>0</v>
      </c>
      <c r="H34" s="140">
        <v>0</v>
      </c>
      <c r="I34" s="140">
        <v>0</v>
      </c>
      <c r="J34" s="140">
        <v>0</v>
      </c>
      <c r="K34" s="140">
        <v>0</v>
      </c>
      <c r="L34" s="140">
        <v>0</v>
      </c>
      <c r="M34" s="140">
        <v>0</v>
      </c>
      <c r="N34" s="87">
        <f t="shared" si="6"/>
        <v>0</v>
      </c>
      <c r="O34" s="87">
        <f t="shared" si="7"/>
        <v>0.14755000000000001</v>
      </c>
      <c r="P34" s="90"/>
      <c r="Q34" s="110"/>
      <c r="R34" s="110"/>
    </row>
    <row r="35" spans="1:25" ht="24" thickBot="1" x14ac:dyDescent="0.5">
      <c r="A35" s="109"/>
      <c r="B35" s="86"/>
      <c r="C35" s="129"/>
      <c r="D35" s="129"/>
      <c r="E35" s="129"/>
      <c r="F35" s="129"/>
      <c r="G35" s="129"/>
      <c r="H35" s="140"/>
      <c r="I35" s="140"/>
      <c r="J35" s="140"/>
      <c r="K35" s="140"/>
      <c r="L35" s="140"/>
      <c r="M35" s="140"/>
      <c r="N35" s="87"/>
      <c r="O35" s="87"/>
      <c r="P35" s="110"/>
      <c r="R35" s="110"/>
    </row>
    <row r="36" spans="1:25" ht="24" thickBot="1" x14ac:dyDescent="0.5">
      <c r="A36" s="97"/>
      <c r="B36" s="98" t="s">
        <v>77</v>
      </c>
      <c r="C36" s="133">
        <f>+SUM(C23:C34)</f>
        <v>45.006236332</v>
      </c>
      <c r="D36" s="133">
        <f t="shared" ref="D36:O36" si="9">+SUM(D23:D34)</f>
        <v>8.1875499999999999</v>
      </c>
      <c r="E36" s="133">
        <f t="shared" si="9"/>
        <v>3.6400000000000006</v>
      </c>
      <c r="F36" s="133">
        <f t="shared" si="9"/>
        <v>2.0499999999999998</v>
      </c>
      <c r="G36" s="133">
        <f t="shared" si="9"/>
        <v>2.16</v>
      </c>
      <c r="H36" s="143">
        <f t="shared" si="9"/>
        <v>7.9152114999999998</v>
      </c>
      <c r="I36" s="143">
        <f t="shared" si="9"/>
        <v>13.564811500000003</v>
      </c>
      <c r="J36" s="143">
        <f t="shared" si="9"/>
        <v>5.3476115000000002</v>
      </c>
      <c r="K36" s="143">
        <f t="shared" si="9"/>
        <v>4.9900115000000005</v>
      </c>
      <c r="L36" s="143">
        <f t="shared" si="9"/>
        <v>0.63631149999999992</v>
      </c>
      <c r="M36" s="143">
        <f t="shared" si="9"/>
        <v>10.754799999999999</v>
      </c>
      <c r="N36" s="99">
        <f>+SUM(N23:N34)</f>
        <v>51.058757500000006</v>
      </c>
      <c r="O36" s="99">
        <f t="shared" si="9"/>
        <v>104.25254383199999</v>
      </c>
      <c r="P36" s="90"/>
      <c r="R36" s="110"/>
    </row>
    <row r="37" spans="1:25" ht="24" thickBot="1" x14ac:dyDescent="0.5">
      <c r="A37" s="112"/>
      <c r="B37" s="113"/>
      <c r="C37" s="132"/>
      <c r="D37" s="132"/>
      <c r="E37" s="132"/>
      <c r="F37" s="132"/>
      <c r="G37" s="132"/>
      <c r="H37" s="142"/>
      <c r="I37" s="142"/>
      <c r="J37" s="142"/>
      <c r="K37" s="142"/>
      <c r="L37" s="142"/>
      <c r="M37" s="142"/>
      <c r="N37" s="96"/>
      <c r="O37" s="87"/>
      <c r="P37" s="88"/>
    </row>
    <row r="38" spans="1:25" ht="63.6" customHeight="1" thickBot="1" x14ac:dyDescent="0.5">
      <c r="A38" s="97"/>
      <c r="B38" s="114" t="s">
        <v>78</v>
      </c>
      <c r="C38" s="133">
        <f t="shared" ref="C38:K38" si="10">+C20-C36</f>
        <v>0.44747746800000243</v>
      </c>
      <c r="D38" s="133">
        <f t="shared" si="10"/>
        <v>0.60242746800000191</v>
      </c>
      <c r="E38" s="133">
        <f t="shared" si="10"/>
        <v>0.49242746800000159</v>
      </c>
      <c r="F38" s="133">
        <f t="shared" si="10"/>
        <v>0.99242746800000159</v>
      </c>
      <c r="G38" s="133">
        <f t="shared" si="10"/>
        <v>0.44242746800000132</v>
      </c>
      <c r="H38" s="143">
        <f t="shared" si="10"/>
        <v>0.67716913800000178</v>
      </c>
      <c r="I38" s="143">
        <f t="shared" si="10"/>
        <v>0.87485083799999863</v>
      </c>
      <c r="J38" s="143">
        <f t="shared" si="10"/>
        <v>4.4873743379999977</v>
      </c>
      <c r="K38" s="143">
        <f t="shared" si="10"/>
        <v>2.7273346379999976</v>
      </c>
      <c r="L38" s="143">
        <f>+L20-L36</f>
        <v>50.997558138000002</v>
      </c>
      <c r="M38" s="143">
        <f>+M20-M36</f>
        <v>7.318980038000003</v>
      </c>
      <c r="N38" s="99"/>
      <c r="O38" s="115">
        <f>+O20-O36</f>
        <v>7.3189800380000207</v>
      </c>
      <c r="Q38" s="110"/>
    </row>
    <row r="39" spans="1:25" ht="23.4" x14ac:dyDescent="0.45">
      <c r="A39" s="77"/>
      <c r="B39" s="77"/>
      <c r="C39" s="116"/>
      <c r="D39" s="116"/>
      <c r="E39" s="116"/>
      <c r="F39" s="117"/>
      <c r="G39" s="116"/>
      <c r="H39" s="116"/>
      <c r="I39" s="116"/>
      <c r="J39" s="116"/>
      <c r="K39" s="116"/>
      <c r="L39" s="116"/>
      <c r="M39" s="116"/>
      <c r="N39" s="116"/>
      <c r="O39" s="118" t="s">
        <v>79</v>
      </c>
      <c r="P39" s="110"/>
      <c r="Q39" s="110"/>
    </row>
    <row r="40" spans="1:25" x14ac:dyDescent="0.3">
      <c r="C40" s="120"/>
      <c r="D40" s="121"/>
      <c r="N40" s="121"/>
    </row>
    <row r="41" spans="1:25" x14ac:dyDescent="0.3">
      <c r="C41" s="120"/>
    </row>
    <row r="42" spans="1:25" x14ac:dyDescent="0.3">
      <c r="D42" s="121"/>
      <c r="R42" s="122"/>
    </row>
    <row r="43" spans="1:25" x14ac:dyDescent="0.3">
      <c r="D43" s="120"/>
      <c r="R43" s="122"/>
    </row>
    <row r="44" spans="1:25" x14ac:dyDescent="0.3">
      <c r="R44" s="122"/>
    </row>
    <row r="46" spans="1:25" x14ac:dyDescent="0.3">
      <c r="B46" s="123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25" s="125" customFormat="1" x14ac:dyDescent="0.3">
      <c r="A47" s="78"/>
      <c r="B47" s="119"/>
      <c r="C47" s="119"/>
      <c r="D47" s="121"/>
      <c r="E47" s="119"/>
      <c r="F47" s="119"/>
      <c r="G47" s="119"/>
      <c r="H47" s="119"/>
      <c r="I47" s="124"/>
      <c r="J47" s="124"/>
      <c r="K47" s="124"/>
      <c r="L47" s="124"/>
      <c r="M47" s="124"/>
      <c r="N47" s="124"/>
      <c r="O47" s="119"/>
      <c r="P47" s="78"/>
      <c r="Q47" s="78"/>
      <c r="R47" s="78"/>
      <c r="S47" s="78"/>
      <c r="T47" s="78"/>
      <c r="U47" s="78"/>
      <c r="V47" s="78"/>
      <c r="W47" s="78"/>
      <c r="X47" s="78"/>
      <c r="Y47" s="78"/>
    </row>
    <row r="48" spans="1:25" s="125" customFormat="1" x14ac:dyDescent="0.3">
      <c r="A48" s="78"/>
      <c r="B48" s="119"/>
      <c r="C48" s="119"/>
      <c r="D48" s="119"/>
      <c r="E48" s="119"/>
      <c r="F48" s="119"/>
      <c r="G48" s="119"/>
      <c r="H48" s="119"/>
      <c r="I48" s="124"/>
      <c r="J48" s="124"/>
      <c r="K48" s="124"/>
      <c r="L48" s="124"/>
      <c r="M48" s="124"/>
      <c r="N48" s="124"/>
      <c r="O48" s="119"/>
      <c r="P48" s="78"/>
      <c r="Q48" s="78"/>
      <c r="R48" s="78"/>
      <c r="S48" s="78"/>
      <c r="T48" s="78"/>
      <c r="U48" s="78"/>
      <c r="V48" s="78"/>
      <c r="W48" s="78"/>
      <c r="X48" s="78"/>
      <c r="Y48" s="78"/>
    </row>
    <row r="49" spans="1:25" s="125" customFormat="1" x14ac:dyDescent="0.3">
      <c r="A49" s="78"/>
      <c r="B49" s="119"/>
      <c r="C49" s="119"/>
      <c r="D49" s="119"/>
      <c r="E49" s="119"/>
      <c r="F49" s="119"/>
      <c r="G49" s="119"/>
      <c r="H49" s="119"/>
      <c r="I49" s="124"/>
      <c r="J49" s="124"/>
      <c r="K49" s="124"/>
      <c r="L49" s="124"/>
      <c r="M49" s="124"/>
      <c r="N49" s="124"/>
      <c r="O49" s="119"/>
      <c r="P49" s="78"/>
      <c r="Q49" s="78"/>
      <c r="R49" s="78"/>
      <c r="S49" s="78"/>
      <c r="T49" s="78"/>
      <c r="U49" s="78"/>
      <c r="V49" s="78"/>
      <c r="W49" s="78"/>
      <c r="X49" s="78"/>
      <c r="Y49" s="78"/>
    </row>
    <row r="50" spans="1:25" s="125" customFormat="1" x14ac:dyDescent="0.3">
      <c r="A50" s="78"/>
      <c r="B50" s="119"/>
      <c r="C50" s="119"/>
      <c r="D50" s="119"/>
      <c r="E50" s="119"/>
      <c r="F50" s="119"/>
      <c r="G50" s="119"/>
      <c r="H50" s="119"/>
      <c r="I50" s="126"/>
      <c r="J50" s="126"/>
      <c r="K50" s="126"/>
      <c r="L50" s="126"/>
      <c r="M50" s="126"/>
      <c r="N50" s="126"/>
      <c r="O50" s="119"/>
      <c r="P50" s="78"/>
      <c r="Q50" s="78"/>
      <c r="R50" s="78"/>
      <c r="S50" s="78"/>
      <c r="T50" s="78"/>
      <c r="U50" s="78"/>
      <c r="V50" s="78"/>
      <c r="W50" s="78"/>
      <c r="X50" s="78"/>
      <c r="Y50" s="78"/>
    </row>
    <row r="51" spans="1:25" s="125" customFormat="1" x14ac:dyDescent="0.3">
      <c r="A51" s="78"/>
      <c r="B51" s="119"/>
      <c r="C51" s="119"/>
      <c r="D51" s="119"/>
      <c r="E51" s="119"/>
      <c r="F51" s="119"/>
      <c r="G51" s="119"/>
      <c r="H51" s="119"/>
      <c r="I51" s="124"/>
      <c r="J51" s="124"/>
      <c r="K51" s="124"/>
      <c r="L51" s="124"/>
      <c r="M51" s="124"/>
      <c r="N51" s="124"/>
      <c r="O51" s="119"/>
      <c r="P51" s="78"/>
      <c r="Q51" s="78"/>
      <c r="R51" s="78"/>
      <c r="S51" s="78"/>
      <c r="T51" s="78"/>
      <c r="U51" s="78"/>
      <c r="V51" s="78"/>
      <c r="W51" s="78"/>
      <c r="X51" s="78"/>
      <c r="Y51" s="78"/>
    </row>
    <row r="52" spans="1:25" s="125" customFormat="1" x14ac:dyDescent="0.3">
      <c r="A52" s="78"/>
      <c r="B52" s="119"/>
      <c r="C52" s="119"/>
      <c r="D52" s="119"/>
      <c r="E52" s="119"/>
      <c r="F52" s="119"/>
      <c r="G52" s="119"/>
      <c r="H52" s="119"/>
      <c r="I52" s="124"/>
      <c r="J52" s="124"/>
      <c r="K52" s="124"/>
      <c r="L52" s="124"/>
      <c r="M52" s="124"/>
      <c r="N52" s="124"/>
      <c r="O52" s="119"/>
      <c r="P52" s="78"/>
      <c r="Q52" s="78"/>
      <c r="R52" s="78"/>
      <c r="S52" s="78"/>
      <c r="T52" s="78"/>
      <c r="U52" s="78"/>
      <c r="V52" s="78"/>
      <c r="W52" s="78"/>
      <c r="X52" s="78"/>
      <c r="Y52" s="78"/>
    </row>
    <row r="53" spans="1:25" s="125" customFormat="1" x14ac:dyDescent="0.3">
      <c r="A53" s="78"/>
      <c r="B53" s="119"/>
      <c r="C53" s="119"/>
      <c r="D53" s="119"/>
      <c r="E53" s="119"/>
      <c r="F53" s="119"/>
      <c r="G53" s="119"/>
      <c r="H53" s="119"/>
      <c r="I53" s="124"/>
      <c r="J53" s="124"/>
      <c r="K53" s="124"/>
      <c r="L53" s="124"/>
      <c r="M53" s="124"/>
      <c r="N53" s="124"/>
      <c r="O53" s="119"/>
      <c r="P53" s="78"/>
      <c r="Q53" s="78"/>
      <c r="R53" s="78"/>
      <c r="S53" s="78"/>
      <c r="T53" s="78"/>
      <c r="U53" s="78"/>
      <c r="V53" s="78"/>
      <c r="W53" s="78"/>
      <c r="X53" s="78"/>
      <c r="Y53" s="78"/>
    </row>
    <row r="54" spans="1:25" s="125" customFormat="1" x14ac:dyDescent="0.3">
      <c r="A54" s="78"/>
      <c r="B54" s="119"/>
      <c r="C54" s="119"/>
      <c r="D54" s="119"/>
      <c r="E54" s="119"/>
      <c r="F54" s="119"/>
      <c r="G54" s="119"/>
      <c r="H54" s="119"/>
      <c r="I54" s="124"/>
      <c r="J54" s="124"/>
      <c r="K54" s="124"/>
      <c r="L54" s="124"/>
      <c r="M54" s="124"/>
      <c r="N54" s="124"/>
      <c r="O54" s="119"/>
      <c r="P54" s="78"/>
      <c r="Q54" s="78"/>
      <c r="R54" s="78"/>
      <c r="S54" s="78"/>
      <c r="T54" s="78"/>
      <c r="U54" s="78"/>
      <c r="V54" s="78"/>
      <c r="W54" s="78"/>
      <c r="X54" s="78"/>
      <c r="Y54" s="78"/>
    </row>
    <row r="55" spans="1:25" s="125" customFormat="1" x14ac:dyDescent="0.3">
      <c r="A55" s="78"/>
      <c r="B55" s="119"/>
      <c r="C55" s="119"/>
      <c r="D55" s="119"/>
      <c r="E55" s="119"/>
      <c r="F55" s="119"/>
      <c r="G55" s="119"/>
      <c r="H55" s="119"/>
      <c r="I55" s="124"/>
      <c r="J55" s="124"/>
      <c r="K55" s="124"/>
      <c r="L55" s="124"/>
      <c r="M55" s="124"/>
      <c r="N55" s="124"/>
      <c r="O55" s="119"/>
      <c r="P55" s="78"/>
      <c r="Q55" s="78"/>
      <c r="R55" s="78"/>
      <c r="S55" s="78"/>
      <c r="T55" s="78"/>
      <c r="U55" s="78"/>
      <c r="V55" s="78"/>
      <c r="W55" s="78"/>
      <c r="X55" s="78"/>
      <c r="Y55" s="78"/>
    </row>
    <row r="56" spans="1:25" s="125" customFormat="1" x14ac:dyDescent="0.3">
      <c r="A56" s="78"/>
      <c r="B56" s="119"/>
      <c r="C56" s="119"/>
      <c r="D56" s="119"/>
      <c r="E56" s="119"/>
      <c r="F56" s="119"/>
      <c r="G56" s="119"/>
      <c r="H56" s="119"/>
      <c r="I56" s="124"/>
      <c r="J56" s="124"/>
      <c r="K56" s="124"/>
      <c r="L56" s="124"/>
      <c r="M56" s="124"/>
      <c r="N56" s="124"/>
      <c r="O56" s="119"/>
      <c r="P56" s="78"/>
      <c r="Q56" s="78"/>
      <c r="R56" s="78"/>
      <c r="S56" s="78"/>
      <c r="T56" s="78"/>
      <c r="U56" s="78"/>
      <c r="V56" s="78"/>
      <c r="W56" s="78"/>
      <c r="X56" s="78"/>
      <c r="Y56" s="78"/>
    </row>
    <row r="57" spans="1:25" s="125" customFormat="1" x14ac:dyDescent="0.3">
      <c r="A57" s="78"/>
      <c r="B57" s="119"/>
      <c r="C57" s="119"/>
      <c r="D57" s="119"/>
      <c r="E57" s="119"/>
      <c r="F57" s="119"/>
      <c r="G57" s="119"/>
      <c r="H57" s="119"/>
      <c r="I57" s="124"/>
      <c r="J57" s="124"/>
      <c r="K57" s="124"/>
      <c r="L57" s="124"/>
      <c r="M57" s="124"/>
      <c r="N57" s="124"/>
      <c r="O57" s="119"/>
      <c r="P57" s="78"/>
      <c r="Q57" s="78"/>
      <c r="R57" s="78"/>
      <c r="S57" s="78"/>
      <c r="T57" s="78"/>
      <c r="U57" s="78"/>
      <c r="V57" s="78"/>
      <c r="W57" s="78"/>
      <c r="X57" s="78"/>
      <c r="Y57" s="78"/>
    </row>
    <row r="58" spans="1:25" s="125" customFormat="1" x14ac:dyDescent="0.3">
      <c r="A58" s="78"/>
      <c r="B58" s="119"/>
      <c r="C58" s="119"/>
      <c r="D58" s="119"/>
      <c r="E58" s="119"/>
      <c r="F58" s="119"/>
      <c r="G58" s="119"/>
      <c r="H58" s="119"/>
      <c r="I58" s="124"/>
      <c r="J58" s="124"/>
      <c r="K58" s="124"/>
      <c r="L58" s="124"/>
      <c r="M58" s="124"/>
      <c r="N58" s="124"/>
      <c r="O58" s="119"/>
      <c r="P58" s="78"/>
      <c r="Q58" s="78"/>
      <c r="R58" s="78"/>
      <c r="S58" s="78"/>
      <c r="T58" s="78"/>
      <c r="U58" s="78"/>
      <c r="V58" s="78"/>
      <c r="W58" s="78"/>
      <c r="X58" s="78"/>
      <c r="Y58" s="78"/>
    </row>
    <row r="59" spans="1:25" s="125" customFormat="1" x14ac:dyDescent="0.3">
      <c r="A59" s="78"/>
      <c r="B59" s="119"/>
      <c r="C59" s="119"/>
      <c r="D59" s="119"/>
      <c r="E59" s="119"/>
      <c r="F59" s="119"/>
      <c r="G59" s="119"/>
      <c r="H59" s="119"/>
      <c r="I59" s="124"/>
      <c r="J59" s="124"/>
      <c r="K59" s="124"/>
      <c r="L59" s="124"/>
      <c r="M59" s="124"/>
      <c r="N59" s="124"/>
      <c r="O59" s="119"/>
      <c r="P59" s="78"/>
      <c r="Q59" s="78"/>
      <c r="R59" s="78"/>
      <c r="S59" s="78"/>
      <c r="T59" s="78"/>
      <c r="U59" s="78"/>
      <c r="V59" s="78"/>
      <c r="W59" s="78"/>
      <c r="X59" s="78"/>
      <c r="Y59" s="78"/>
    </row>
    <row r="60" spans="1:25" s="125" customFormat="1" x14ac:dyDescent="0.3">
      <c r="A60" s="78"/>
      <c r="B60" s="119"/>
      <c r="C60" s="119"/>
      <c r="D60" s="119"/>
      <c r="E60" s="119"/>
      <c r="F60" s="119"/>
      <c r="G60" s="119"/>
      <c r="H60" s="119"/>
      <c r="I60" s="124"/>
      <c r="J60" s="124"/>
      <c r="K60" s="124"/>
      <c r="L60" s="124"/>
      <c r="M60" s="124"/>
      <c r="N60" s="124"/>
      <c r="O60" s="119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s="125" customFormat="1" x14ac:dyDescent="0.3">
      <c r="A61" s="78"/>
      <c r="B61" s="119"/>
      <c r="C61" s="119"/>
      <c r="D61" s="119"/>
      <c r="E61" s="119"/>
      <c r="F61" s="119"/>
      <c r="G61" s="119"/>
      <c r="H61" s="119"/>
      <c r="I61" s="124"/>
      <c r="J61" s="124"/>
      <c r="K61" s="124"/>
      <c r="L61" s="124"/>
      <c r="M61" s="124"/>
      <c r="N61" s="124"/>
      <c r="O61" s="119"/>
      <c r="P61" s="78"/>
      <c r="Q61" s="78"/>
      <c r="R61" s="78"/>
      <c r="S61" s="78"/>
      <c r="T61" s="78"/>
      <c r="U61" s="78"/>
      <c r="V61" s="78"/>
      <c r="W61" s="78"/>
      <c r="X61" s="78"/>
      <c r="Y61" s="78"/>
    </row>
    <row r="62" spans="1:25" s="125" customFormat="1" x14ac:dyDescent="0.3">
      <c r="A62" s="78"/>
      <c r="B62" s="119"/>
      <c r="C62" s="119"/>
      <c r="D62" s="119"/>
      <c r="E62" s="119"/>
      <c r="F62" s="119"/>
      <c r="G62" s="119"/>
      <c r="H62" s="119"/>
      <c r="I62" s="124"/>
      <c r="J62" s="124"/>
      <c r="K62" s="124"/>
      <c r="L62" s="124"/>
      <c r="M62" s="124"/>
      <c r="N62" s="124"/>
      <c r="O62" s="119"/>
      <c r="P62" s="78"/>
      <c r="Q62" s="78"/>
      <c r="R62" s="78"/>
      <c r="S62" s="78"/>
      <c r="T62" s="78"/>
      <c r="U62" s="78"/>
      <c r="V62" s="78"/>
      <c r="W62" s="78"/>
      <c r="X62" s="78"/>
      <c r="Y62" s="78"/>
    </row>
    <row r="63" spans="1:25" s="125" customFormat="1" x14ac:dyDescent="0.3">
      <c r="A63" s="78"/>
      <c r="B63" s="119"/>
      <c r="C63" s="119"/>
      <c r="D63" s="119"/>
      <c r="E63" s="119"/>
      <c r="F63" s="119"/>
      <c r="G63" s="119"/>
      <c r="H63" s="119"/>
      <c r="I63" s="124"/>
      <c r="J63" s="124"/>
      <c r="K63" s="124"/>
      <c r="L63" s="124"/>
      <c r="M63" s="124"/>
      <c r="N63" s="124"/>
      <c r="O63" s="119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25" s="125" customFormat="1" x14ac:dyDescent="0.3">
      <c r="A64" s="78"/>
      <c r="B64" s="119"/>
      <c r="C64" s="119"/>
      <c r="D64" s="119"/>
      <c r="E64" s="119"/>
      <c r="F64" s="119"/>
      <c r="G64" s="119"/>
      <c r="H64" s="119"/>
      <c r="I64" s="124"/>
      <c r="J64" s="124"/>
      <c r="K64" s="124"/>
      <c r="L64" s="124"/>
      <c r="M64" s="124"/>
      <c r="N64" s="124"/>
      <c r="O64" s="119"/>
      <c r="P64" s="78"/>
      <c r="Q64" s="78"/>
      <c r="R64" s="78"/>
      <c r="S64" s="78"/>
      <c r="T64" s="78"/>
      <c r="U64" s="78"/>
      <c r="V64" s="78"/>
      <c r="W64" s="78"/>
      <c r="X64" s="78"/>
      <c r="Y64" s="78"/>
    </row>
    <row r="65" spans="1:25" s="125" customFormat="1" x14ac:dyDescent="0.3">
      <c r="A65" s="78"/>
      <c r="B65" s="119"/>
      <c r="C65" s="119"/>
      <c r="D65" s="119"/>
      <c r="E65" s="119"/>
      <c r="F65" s="119"/>
      <c r="G65" s="119"/>
      <c r="H65" s="119"/>
      <c r="I65" s="124"/>
      <c r="J65" s="124"/>
      <c r="K65" s="124"/>
      <c r="L65" s="124"/>
      <c r="M65" s="124"/>
      <c r="N65" s="124"/>
      <c r="O65" s="119"/>
      <c r="P65" s="78"/>
      <c r="Q65" s="78"/>
      <c r="R65" s="78"/>
      <c r="S65" s="78"/>
      <c r="T65" s="78"/>
      <c r="U65" s="78"/>
      <c r="V65" s="78"/>
      <c r="W65" s="78"/>
      <c r="X65" s="78"/>
      <c r="Y65" s="78"/>
    </row>
    <row r="66" spans="1:25" s="125" customFormat="1" x14ac:dyDescent="0.3">
      <c r="A66" s="78"/>
      <c r="B66" s="119"/>
      <c r="C66" s="119"/>
      <c r="D66" s="119"/>
      <c r="E66" s="119"/>
      <c r="F66" s="119"/>
      <c r="G66" s="119"/>
      <c r="H66" s="119"/>
      <c r="I66" s="124"/>
      <c r="J66" s="124"/>
      <c r="K66" s="124"/>
      <c r="L66" s="124"/>
      <c r="M66" s="124"/>
      <c r="N66" s="124"/>
      <c r="O66" s="119"/>
      <c r="P66" s="78"/>
      <c r="Q66" s="78"/>
      <c r="R66" s="78"/>
      <c r="S66" s="78"/>
      <c r="T66" s="78"/>
      <c r="U66" s="78"/>
      <c r="V66" s="78"/>
      <c r="W66" s="78"/>
      <c r="X66" s="78"/>
      <c r="Y66" s="78"/>
    </row>
    <row r="67" spans="1:25" s="125" customFormat="1" x14ac:dyDescent="0.3">
      <c r="A67" s="78"/>
      <c r="B67" s="119"/>
      <c r="C67" s="119"/>
      <c r="D67" s="119"/>
      <c r="E67" s="119"/>
      <c r="F67" s="119"/>
      <c r="G67" s="119"/>
      <c r="H67" s="119"/>
      <c r="I67" s="124"/>
      <c r="J67" s="124"/>
      <c r="K67" s="124"/>
      <c r="L67" s="124"/>
      <c r="M67" s="124"/>
      <c r="N67" s="124"/>
      <c r="O67" s="119"/>
      <c r="P67" s="78"/>
      <c r="Q67" s="78"/>
      <c r="R67" s="78"/>
      <c r="S67" s="78"/>
      <c r="T67" s="78"/>
      <c r="U67" s="78"/>
      <c r="V67" s="78"/>
      <c r="W67" s="78"/>
      <c r="X67" s="78"/>
      <c r="Y67" s="78"/>
    </row>
  </sheetData>
  <mergeCells count="4">
    <mergeCell ref="C2:C5"/>
    <mergeCell ref="D2:D5"/>
    <mergeCell ref="C1:G1"/>
    <mergeCell ref="H1:M1"/>
  </mergeCells>
  <pageMargins left="0.11811023622047245" right="0" top="0.19685039370078741" bottom="0.15748031496062992" header="0.31496062992125984" footer="0.31496062992125984"/>
  <pageSetup paperSize="124"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Ghatkopar project budget</vt:lpstr>
      <vt:lpstr>2. CF Working final</vt:lpstr>
      <vt:lpstr>'2. CF Working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</dc:creator>
  <cp:lastModifiedBy>Vipin Gandhi</cp:lastModifiedBy>
  <cp:lastPrinted>2023-01-06T12:38:06Z</cp:lastPrinted>
  <dcterms:created xsi:type="dcterms:W3CDTF">2019-04-02T10:02:38Z</dcterms:created>
  <dcterms:modified xsi:type="dcterms:W3CDTF">2024-09-19T05:22:17Z</dcterms:modified>
</cp:coreProperties>
</file>