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1. Shree Ramakrishn Enterprises\11. Project approval documents\SBI bank\"/>
    </mc:Choice>
  </mc:AlternateContent>
  <xr:revisionPtr revIDLastSave="0" documentId="13_ncr:1_{E246955E-0BF3-4D38-9218-ECB81E2645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ject Details" sheetId="6" r:id="rId1"/>
    <sheet name="Costing" sheetId="1" r:id="rId2"/>
    <sheet name="Flats details" sheetId="2" r:id="rId3"/>
    <sheet name="Sheet4" sheetId="4" state="hidden" r:id="rId4"/>
    <sheet name="Sales" sheetId="3" r:id="rId5"/>
    <sheet name="Construction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42" i="1"/>
  <c r="C41" i="1"/>
  <c r="F21" i="3"/>
  <c r="D13" i="3"/>
  <c r="C15" i="3"/>
  <c r="B15" i="3"/>
  <c r="D18" i="3"/>
  <c r="D21" i="3" s="1"/>
  <c r="B6" i="5"/>
  <c r="E21" i="3"/>
  <c r="E12" i="3"/>
  <c r="D12" i="3"/>
  <c r="C21" i="3"/>
  <c r="H9" i="2"/>
  <c r="H8" i="2"/>
  <c r="G8" i="2"/>
  <c r="F8" i="2"/>
  <c r="E8" i="2"/>
  <c r="E9" i="2" s="1"/>
  <c r="H4" i="2"/>
  <c r="G4" i="2"/>
  <c r="E4" i="2"/>
  <c r="D4" i="2"/>
  <c r="G6" i="2"/>
  <c r="E6" i="2"/>
  <c r="D6" i="2"/>
  <c r="C7" i="2"/>
  <c r="C8" i="2"/>
  <c r="C29" i="1"/>
  <c r="C30" i="1" s="1"/>
  <c r="H6" i="2"/>
  <c r="C39" i="1"/>
  <c r="C38" i="1"/>
  <c r="C37" i="1"/>
  <c r="C36" i="1"/>
  <c r="C35" i="1"/>
  <c r="C33" i="1"/>
  <c r="C32" i="1"/>
  <c r="C27" i="1"/>
  <c r="D14" i="1"/>
  <c r="C16" i="1"/>
  <c r="D5" i="1"/>
  <c r="D7" i="2" l="1"/>
  <c r="D8" i="2" s="1"/>
  <c r="D9" i="2" s="1"/>
  <c r="F18" i="3" l="1"/>
  <c r="F17" i="3"/>
  <c r="D17" i="3"/>
  <c r="D16" i="3"/>
  <c r="D15" i="3"/>
  <c r="D14" i="3"/>
  <c r="D10" i="3"/>
  <c r="D5" i="2"/>
  <c r="C9" i="1"/>
  <c r="C8" i="1"/>
  <c r="C6" i="1"/>
  <c r="C5" i="1"/>
  <c r="E5" i="1" s="1"/>
  <c r="D7" i="3" l="1"/>
  <c r="E7" i="3"/>
  <c r="G10" i="3"/>
  <c r="G12" i="3"/>
  <c r="G13" i="3"/>
  <c r="G15" i="3"/>
  <c r="G16" i="3"/>
  <c r="G17" i="3"/>
  <c r="G18" i="3"/>
  <c r="F16" i="3"/>
  <c r="F15" i="3"/>
  <c r="F14" i="3"/>
  <c r="F13" i="3"/>
  <c r="F12" i="3"/>
  <c r="F11" i="3"/>
  <c r="F10" i="3"/>
  <c r="B21" i="3"/>
  <c r="F5" i="2"/>
  <c r="C5" i="2"/>
  <c r="C9" i="2" s="1"/>
  <c r="B9" i="2"/>
  <c r="F9" i="2" l="1"/>
  <c r="E5" i="2"/>
  <c r="H5" i="2"/>
  <c r="G7" i="3" l="1"/>
  <c r="F7" i="3"/>
  <c r="G5" i="2"/>
  <c r="G9" i="2" s="1"/>
  <c r="D9" i="3"/>
  <c r="F9" i="3" l="1"/>
  <c r="G9" i="3"/>
  <c r="C24" i="1" l="1"/>
  <c r="E15" i="1"/>
  <c r="E16" i="1"/>
  <c r="E14" i="1"/>
  <c r="F14" i="1" s="1"/>
  <c r="E4" i="1"/>
  <c r="F5" i="1"/>
  <c r="E6" i="1"/>
  <c r="F6" i="1" s="1"/>
  <c r="E7" i="1"/>
  <c r="E8" i="1"/>
  <c r="F8" i="1" s="1"/>
  <c r="E9" i="1"/>
  <c r="F9" i="1" s="1"/>
  <c r="E3" i="1"/>
  <c r="D10" i="1"/>
  <c r="C10" i="1"/>
  <c r="F16" i="1" l="1"/>
  <c r="E10" i="1"/>
</calcChain>
</file>

<file path=xl/sharedStrings.xml><?xml version="1.0" encoding="utf-8"?>
<sst xmlns="http://schemas.openxmlformats.org/spreadsheetml/2006/main" count="150" uniqueCount="122">
  <si>
    <t>                       COST &amp; MEANS OF FINANCE</t>
  </si>
  <si>
    <t>Sr No</t>
  </si>
  <si>
    <t>Cost Particulars</t>
  </si>
  <si>
    <t xml:space="preserve">Total </t>
  </si>
  <si>
    <t xml:space="preserve">Cost incurred </t>
  </si>
  <si>
    <t>Balance Cost</t>
  </si>
  <si>
    <t>% total</t>
  </si>
  <si>
    <t>Land Cost</t>
  </si>
  <si>
    <t>Plan approval</t>
  </si>
  <si>
    <t>Construction cost</t>
  </si>
  <si>
    <t>Administration + Overheads</t>
  </si>
  <si>
    <t>Sales &amp; Marketing exps</t>
  </si>
  <si>
    <t>Professional Fees</t>
  </si>
  <si>
    <t>Finance Cost</t>
  </si>
  <si>
    <t>Total Project Cost</t>
  </si>
  <si>
    <t>Means of Finance</t>
  </si>
  <si>
    <t>Total</t>
  </si>
  <si>
    <t>Balance</t>
  </si>
  <si>
    <t>Promoters Contribution</t>
  </si>
  <si>
    <t>Booking Money</t>
  </si>
  <si>
    <t>Units</t>
  </si>
  <si>
    <t>Particulars</t>
  </si>
  <si>
    <t>Details</t>
  </si>
  <si>
    <t>No. of Units</t>
  </si>
  <si>
    <t>Sold.</t>
  </si>
  <si>
    <t>Unsold.</t>
  </si>
  <si>
    <t>Carpet Area (in sqft)</t>
  </si>
  <si>
    <t>% Sold</t>
  </si>
  <si>
    <t>Rec D</t>
  </si>
  <si>
    <t>Receivable</t>
  </si>
  <si>
    <t>NA</t>
  </si>
  <si>
    <t>Future RecV</t>
  </si>
  <si>
    <t>Incurred</t>
  </si>
  <si>
    <t>Inc. %</t>
  </si>
  <si>
    <t>Surplus</t>
  </si>
  <si>
    <t>Others (if applicable)</t>
  </si>
  <si>
    <t>Carpet Area</t>
  </si>
  <si>
    <t>AV</t>
  </si>
  <si>
    <t>RecD</t>
  </si>
  <si>
    <t>RecV</t>
  </si>
  <si>
    <t>RecD %</t>
  </si>
  <si>
    <t>Residential</t>
  </si>
  <si>
    <t>Unsold</t>
  </si>
  <si>
    <t>Grand Total</t>
  </si>
  <si>
    <t>ASP</t>
  </si>
  <si>
    <t>Dec</t>
  </si>
  <si>
    <t>Jan</t>
  </si>
  <si>
    <t>Feb</t>
  </si>
  <si>
    <t>Mar</t>
  </si>
  <si>
    <t>2023-24</t>
  </si>
  <si>
    <t>Apr</t>
  </si>
  <si>
    <t>May</t>
  </si>
  <si>
    <t>Jun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</si>
  <si>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</si>
  <si>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</si>
  <si>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</si>
  <si>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</si>
  <si>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</si>
  <si>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</si>
  <si>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</si>
  <si>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</si>
  <si>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</si>
  <si>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Scheme Description</t>
  </si>
  <si>
    <t>Scheme Name</t>
  </si>
  <si>
    <t xml:space="preserve">Building Name </t>
  </si>
  <si>
    <t>A</t>
  </si>
  <si>
    <t>B</t>
  </si>
  <si>
    <t>C</t>
  </si>
  <si>
    <t>D</t>
  </si>
  <si>
    <t>MHADA</t>
  </si>
  <si>
    <t>Approved Floors</t>
  </si>
  <si>
    <t>Proposed Floors</t>
  </si>
  <si>
    <t xml:space="preserve"> Construction stage </t>
  </si>
  <si>
    <t> Current SOC</t>
  </si>
  <si>
    <t>Weighted Avg. SOC</t>
  </si>
  <si>
    <t>S. no.</t>
  </si>
  <si>
    <t>Type of Development</t>
  </si>
  <si>
    <t xml:space="preserve">Residential </t>
  </si>
  <si>
    <t>Total Tenants units</t>
  </si>
  <si>
    <t xml:space="preserve">105 Units </t>
  </si>
  <si>
    <t>Total Residential Area – Rehab building</t>
  </si>
  <si>
    <t>Total no. of units available for sale</t>
  </si>
  <si>
    <t>Total Sale carpet area</t>
  </si>
  <si>
    <t>97165.77 SQ Ft. (Carpet area – RERA)</t>
  </si>
  <si>
    <t xml:space="preserve">Net Area available for sale </t>
  </si>
  <si>
    <t>No. of sale Tower – commercial</t>
  </si>
  <si>
    <t xml:space="preserve">Not applicable </t>
  </si>
  <si>
    <t xml:space="preserve">No. of Residential Tower </t>
  </si>
  <si>
    <t>Structure Planned till – sale commercial</t>
  </si>
  <si>
    <t>Structure constructed till – sale commercial</t>
  </si>
  <si>
    <t>Structure Planned till – Residential</t>
  </si>
  <si>
    <t xml:space="preserve">Structure constructed till – Residential </t>
  </si>
  <si>
    <t>Structure planned and constructed till – PTC*</t>
  </si>
  <si>
    <t xml:space="preserve">Loan amount </t>
  </si>
  <si>
    <t>Brought as on</t>
  </si>
  <si>
    <t>Total allotted to members (existing tenants) – 64 units</t>
  </si>
  <si>
    <t xml:space="preserve">Total Unsold – 41 units </t>
  </si>
  <si>
    <t>41 units</t>
  </si>
  <si>
    <t>36197.98 SQ Ft (Carpet area – RERA)</t>
  </si>
  <si>
    <t>1 Building consit of four wings say A, B, C &amp; D</t>
  </si>
  <si>
    <t>B1 + 10 floors each of four wings</t>
  </si>
  <si>
    <t>Rs. In Lakhs</t>
  </si>
  <si>
    <t>(In Lakhs)</t>
  </si>
  <si>
    <t>Valuation (Rs. In lakhs)</t>
  </si>
  <si>
    <t>Loan o/s (Rs. In lakhs)</t>
  </si>
  <si>
    <t>Loan undisbursed (Rs. In lakhs)</t>
  </si>
  <si>
    <t>Fresh Proposed facility (Rs. In lakhs)</t>
  </si>
  <si>
    <t>Project Surplus (Rs. In lakhs)</t>
  </si>
  <si>
    <t>Cost (Rs. In lakhs)</t>
  </si>
  <si>
    <t>Sales (Rs. In lakhs)</t>
  </si>
  <si>
    <t>Demand Raised  ( In lakhs)</t>
  </si>
  <si>
    <r>
      <t>Sales Velocity</t>
    </r>
    <r>
      <rPr>
        <i/>
        <sz val="10"/>
        <color theme="1"/>
        <rFont val="Trebuchet MS"/>
        <family val="2"/>
      </rPr>
      <t xml:space="preserve">   (Area in Sqft; Amt Rs. in lakhs)</t>
    </r>
  </si>
  <si>
    <r>
      <t>Sold &amp; Unsold Status</t>
    </r>
    <r>
      <rPr>
        <b/>
        <i/>
        <sz val="10"/>
        <color theme="1"/>
        <rFont val="Trebuchet MS"/>
        <family val="2"/>
      </rPr>
      <t xml:space="preserve"> </t>
    </r>
    <r>
      <rPr>
        <i/>
        <sz val="10"/>
        <color theme="1"/>
        <rFont val="Trebuchet MS"/>
        <family val="2"/>
      </rPr>
      <t>(Area in Sqft; Amt Rs. in lakhs)</t>
    </r>
  </si>
  <si>
    <t>Sold to Exisitng Tenants</t>
  </si>
  <si>
    <t xml:space="preserve">Unsold </t>
  </si>
  <si>
    <t>Sold to Outsiders</t>
  </si>
  <si>
    <t>Reserved for Existing Tenants (Old Carpet Area plus 45% Free Area)</t>
  </si>
  <si>
    <t>Sold to exisitng Tenants</t>
  </si>
  <si>
    <t>Ground, Slab1, Slab2, Slab3, Slab4, Slab5, Slab6, Slab7, Slab8, Slab9.</t>
  </si>
  <si>
    <t>Ground, Slab1, Slab2, Slab3, Slab4.</t>
  </si>
  <si>
    <t>(out of 63, 62 are tenant allotment and 1 is Outside Sale)</t>
  </si>
  <si>
    <t xml:space="preserve">Project Synopsis (Vikram Delite CHSL) (as on 31-07-2024):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</si>
</sst>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u/>
      <sz val="10"/>
      <color theme="1"/>
      <name val="Trebuchet MS"/>
      <family val="2"/>
    </font>
    <font>
      <b/>
      <i/>
      <sz val="10"/>
      <color rgb="FF000000"/>
      <name val="Trebuchet MS"/>
      <family val="2"/>
    </font>
    <font>
      <b/>
      <i/>
      <u/>
      <sz val="10"/>
      <color theme="1"/>
      <name val="Trebuchet MS"/>
      <family val="2"/>
    </font>
    <font>
      <b/>
      <i/>
      <sz val="10"/>
      <color theme="1"/>
      <name val="Trebuchet MS"/>
      <family val="2"/>
    </font>
    <font>
      <i/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1"/>
      <color rgb="FF000000"/>
      <name val="Trebuchet MS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Trebuchet MS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0CEC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10" fontId="3" fillId="0" borderId="1" xfId="1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vertical="center" wrapText="1"/>
    </xf>
    <xf numFmtId="10" fontId="10" fillId="0" borderId="1" xfId="1" applyNumberFormat="1" applyFont="1" applyBorder="1" applyAlignment="1">
      <alignment horizontal="center"/>
    </xf>
    <xf numFmtId="0" fontId="14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tabSelected="1" workbookViewId="0">
      <selection activeCell="C12" sqref="C12"/>
    </sheetView>
  </sheetViews>
  <sheetFormatPr defaultColWidth="9.109375" defaultRowHeight="14.4" x14ac:dyDescent="0.3"/>
  <cols>
    <col min="1" max="1" width="6" style="26" bestFit="1" customWidth="1"/>
    <col min="2" max="2" width="39.109375" style="26" bestFit="1" customWidth="1"/>
    <col min="3" max="3" width="105" style="26" bestFit="1" customWidth="1"/>
    <col min="4" max="16384" width="9.109375" style="26"/>
  </cols>
  <sheetData>
    <row r="1" spans="1:3" x14ac:dyDescent="0.3">
      <c r="A1" s="25" t="s">
        <v>75</v>
      </c>
      <c r="B1" s="25" t="s">
        <v>21</v>
      </c>
      <c r="C1" s="25" t="s">
        <v>22</v>
      </c>
    </row>
    <row r="2" spans="1:3" x14ac:dyDescent="0.3">
      <c r="A2" s="27">
        <v>1</v>
      </c>
      <c r="B2" s="27" t="s">
        <v>76</v>
      </c>
      <c r="C2" s="27" t="s">
        <v>77</v>
      </c>
    </row>
    <row r="3" spans="1:3" ht="15" customHeight="1" x14ac:dyDescent="0.3">
      <c r="A3" s="61">
        <v>2</v>
      </c>
      <c r="B3" s="61" t="s">
        <v>78</v>
      </c>
      <c r="C3" s="27" t="s">
        <v>79</v>
      </c>
    </row>
    <row r="4" spans="1:3" x14ac:dyDescent="0.3">
      <c r="A4" s="62"/>
      <c r="B4" s="62"/>
      <c r="C4" s="27" t="s">
        <v>95</v>
      </c>
    </row>
    <row r="5" spans="1:3" x14ac:dyDescent="0.3">
      <c r="A5" s="63"/>
      <c r="B5" s="63"/>
      <c r="C5" s="27" t="s">
        <v>96</v>
      </c>
    </row>
    <row r="6" spans="1:3" x14ac:dyDescent="0.3">
      <c r="A6" s="27">
        <v>3</v>
      </c>
      <c r="B6" s="27" t="s">
        <v>80</v>
      </c>
      <c r="C6" s="27" t="s">
        <v>99</v>
      </c>
    </row>
    <row r="7" spans="1:3" x14ac:dyDescent="0.3">
      <c r="A7" s="27">
        <v>4</v>
      </c>
      <c r="B7" s="27" t="s">
        <v>81</v>
      </c>
      <c r="C7" s="27" t="s">
        <v>97</v>
      </c>
    </row>
    <row r="8" spans="1:3" x14ac:dyDescent="0.3">
      <c r="A8" s="27">
        <v>5</v>
      </c>
      <c r="B8" s="27" t="s">
        <v>82</v>
      </c>
      <c r="C8" s="27" t="s">
        <v>83</v>
      </c>
    </row>
    <row r="9" spans="1:3" x14ac:dyDescent="0.3">
      <c r="A9" s="27">
        <v>6</v>
      </c>
      <c r="B9" s="27" t="s">
        <v>84</v>
      </c>
      <c r="C9" s="27" t="s">
        <v>98</v>
      </c>
    </row>
    <row r="10" spans="1:3" x14ac:dyDescent="0.3">
      <c r="A10" s="27">
        <v>7</v>
      </c>
      <c r="B10" s="27" t="s">
        <v>85</v>
      </c>
      <c r="C10" s="27" t="s">
        <v>86</v>
      </c>
    </row>
    <row r="11" spans="1:3" x14ac:dyDescent="0.3">
      <c r="A11" s="27">
        <v>8</v>
      </c>
      <c r="B11" s="27" t="s">
        <v>87</v>
      </c>
      <c r="C11" s="27" t="s">
        <v>99</v>
      </c>
    </row>
    <row r="12" spans="1:3" x14ac:dyDescent="0.3">
      <c r="A12" s="27">
        <v>9</v>
      </c>
      <c r="B12" s="27" t="s">
        <v>88</v>
      </c>
      <c r="C12" s="27" t="s">
        <v>118</v>
      </c>
    </row>
    <row r="13" spans="1:3" x14ac:dyDescent="0.3">
      <c r="A13" s="27">
        <v>10</v>
      </c>
      <c r="B13" s="27" t="s">
        <v>89</v>
      </c>
      <c r="C13" s="27" t="s">
        <v>118</v>
      </c>
    </row>
    <row r="14" spans="1:3" x14ac:dyDescent="0.3">
      <c r="A14" s="27">
        <v>11</v>
      </c>
      <c r="B14" s="27" t="s">
        <v>90</v>
      </c>
      <c r="C14" s="27" t="s">
        <v>100</v>
      </c>
    </row>
    <row r="15" spans="1:3" x14ac:dyDescent="0.3">
      <c r="A15" s="27">
        <v>12</v>
      </c>
      <c r="B15" s="27" t="s">
        <v>91</v>
      </c>
      <c r="C15" s="27" t="s">
        <v>118</v>
      </c>
    </row>
    <row r="16" spans="1:3" x14ac:dyDescent="0.3">
      <c r="A16" s="27">
        <v>13</v>
      </c>
      <c r="B16" s="27" t="s">
        <v>92</v>
      </c>
      <c r="C16" s="27" t="s">
        <v>119</v>
      </c>
    </row>
  </sheetData>
  <mergeCells count="2">
    <mergeCell ref="A3:A5"/>
    <mergeCell ref="B3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zoomScale="163" workbookViewId="0">
      <selection activeCell="C20" sqref="C20"/>
    </sheetView>
  </sheetViews>
  <sheetFormatPr defaultRowHeight="14.4" x14ac:dyDescent="0.3"/>
  <cols>
    <col min="1" max="1" width="25.5546875" bestFit="1" customWidth="1"/>
    <col min="2" max="2" width="24.88671875" bestFit="1" customWidth="1"/>
    <col min="3" max="3" width="11" bestFit="1" customWidth="1"/>
    <col min="4" max="4" width="11.5546875" bestFit="1" customWidth="1"/>
    <col min="6" max="6" width="11.21875" bestFit="1" customWidth="1"/>
  </cols>
  <sheetData>
    <row r="1" spans="1:6" x14ac:dyDescent="0.3">
      <c r="A1" s="54" t="s">
        <v>0</v>
      </c>
      <c r="B1" s="54"/>
      <c r="C1" s="54"/>
      <c r="D1" s="54"/>
      <c r="E1" s="54"/>
      <c r="F1" s="1" t="s">
        <v>101</v>
      </c>
    </row>
    <row r="2" spans="1:6" ht="28.8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1" t="s">
        <v>6</v>
      </c>
    </row>
    <row r="3" spans="1:6" x14ac:dyDescent="0.3">
      <c r="A3" s="3">
        <v>1</v>
      </c>
      <c r="B3" s="4" t="s">
        <v>7</v>
      </c>
      <c r="C3" s="3">
        <v>0</v>
      </c>
      <c r="D3" s="3">
        <v>0</v>
      </c>
      <c r="E3" s="3">
        <f>C3-D3</f>
        <v>0</v>
      </c>
      <c r="F3" s="5">
        <v>0</v>
      </c>
    </row>
    <row r="4" spans="1:6" x14ac:dyDescent="0.3">
      <c r="A4" s="3">
        <v>2</v>
      </c>
      <c r="B4" s="4" t="s">
        <v>8</v>
      </c>
      <c r="C4" s="3">
        <v>0</v>
      </c>
      <c r="D4" s="3">
        <v>0</v>
      </c>
      <c r="E4" s="3">
        <f t="shared" ref="E4:E9" si="0">C4-D4</f>
        <v>0</v>
      </c>
      <c r="F4" s="5">
        <v>0</v>
      </c>
    </row>
    <row r="5" spans="1:6" x14ac:dyDescent="0.3">
      <c r="A5" s="3">
        <v>3</v>
      </c>
      <c r="B5" s="4" t="s">
        <v>9</v>
      </c>
      <c r="C5" s="3">
        <f>(101.79-7.89-4.99-3.11+2.46)*100</f>
        <v>8826</v>
      </c>
      <c r="D5" s="6">
        <f>4551+15</f>
        <v>4566</v>
      </c>
      <c r="E5" s="3">
        <f>C5-D5</f>
        <v>4260</v>
      </c>
      <c r="F5" s="5">
        <f t="shared" ref="F5:F9" si="1">E5/C5</f>
        <v>0.48266485384092456</v>
      </c>
    </row>
    <row r="6" spans="1:6" x14ac:dyDescent="0.3">
      <c r="A6" s="3">
        <v>4</v>
      </c>
      <c r="B6" s="4" t="s">
        <v>10</v>
      </c>
      <c r="C6" s="3">
        <f>7.89*100</f>
        <v>789</v>
      </c>
      <c r="D6" s="6">
        <v>740</v>
      </c>
      <c r="E6" s="3">
        <f t="shared" si="0"/>
        <v>49</v>
      </c>
      <c r="F6" s="5">
        <f t="shared" si="1"/>
        <v>6.2103929024081114E-2</v>
      </c>
    </row>
    <row r="7" spans="1:6" x14ac:dyDescent="0.3">
      <c r="A7" s="3">
        <v>5</v>
      </c>
      <c r="B7" s="4" t="s">
        <v>11</v>
      </c>
      <c r="C7" s="3">
        <v>0</v>
      </c>
      <c r="D7" s="3">
        <v>0</v>
      </c>
      <c r="E7" s="3">
        <f t="shared" si="0"/>
        <v>0</v>
      </c>
      <c r="F7" s="5">
        <v>0</v>
      </c>
    </row>
    <row r="8" spans="1:6" x14ac:dyDescent="0.3">
      <c r="A8" s="3">
        <v>7</v>
      </c>
      <c r="B8" s="4" t="s">
        <v>12</v>
      </c>
      <c r="C8" s="3">
        <f>3.11*100</f>
        <v>311</v>
      </c>
      <c r="D8" s="3">
        <v>299</v>
      </c>
      <c r="E8" s="3">
        <f t="shared" si="0"/>
        <v>12</v>
      </c>
      <c r="F8" s="5">
        <f t="shared" si="1"/>
        <v>3.8585209003215437E-2</v>
      </c>
    </row>
    <row r="9" spans="1:6" x14ac:dyDescent="0.3">
      <c r="A9" s="3">
        <v>8</v>
      </c>
      <c r="B9" s="4" t="s">
        <v>13</v>
      </c>
      <c r="C9" s="3">
        <f>4.99*100</f>
        <v>499</v>
      </c>
      <c r="D9" s="3">
        <v>468</v>
      </c>
      <c r="E9" s="3">
        <f t="shared" si="0"/>
        <v>31</v>
      </c>
      <c r="F9" s="5">
        <f t="shared" si="1"/>
        <v>6.2124248496993988E-2</v>
      </c>
    </row>
    <row r="10" spans="1:6" x14ac:dyDescent="0.3">
      <c r="A10" s="54" t="s">
        <v>14</v>
      </c>
      <c r="B10" s="54"/>
      <c r="C10" s="1">
        <f>SUM(C3:C9)</f>
        <v>10425</v>
      </c>
      <c r="D10" s="1">
        <f>SUM(D3:D9)</f>
        <v>6073</v>
      </c>
      <c r="E10" s="1">
        <f>SUM(E3:E9)</f>
        <v>4352</v>
      </c>
      <c r="F10" s="1"/>
    </row>
    <row r="12" spans="1:6" ht="28.8" x14ac:dyDescent="0.3">
      <c r="A12" s="54" t="s">
        <v>1</v>
      </c>
      <c r="B12" s="54" t="s">
        <v>15</v>
      </c>
      <c r="C12" s="54" t="s">
        <v>16</v>
      </c>
      <c r="D12" s="2" t="s">
        <v>94</v>
      </c>
      <c r="E12" s="54" t="s">
        <v>17</v>
      </c>
      <c r="F12" s="54" t="s">
        <v>6</v>
      </c>
    </row>
    <row r="13" spans="1:6" x14ac:dyDescent="0.3">
      <c r="A13" s="54"/>
      <c r="B13" s="54"/>
      <c r="C13" s="54"/>
      <c r="D13" s="8">
        <v>45504</v>
      </c>
      <c r="E13" s="54"/>
      <c r="F13" s="54"/>
    </row>
    <row r="14" spans="1:6" x14ac:dyDescent="0.3">
      <c r="A14" s="3">
        <v>1</v>
      </c>
      <c r="B14" s="4" t="s">
        <v>18</v>
      </c>
      <c r="C14" s="6">
        <v>4945</v>
      </c>
      <c r="D14" s="3">
        <f>C14</f>
        <v>4945</v>
      </c>
      <c r="E14" s="3">
        <f>C14-D14</f>
        <v>0</v>
      </c>
      <c r="F14" s="5">
        <f>E14/C14</f>
        <v>0</v>
      </c>
    </row>
    <row r="15" spans="1:6" x14ac:dyDescent="0.3">
      <c r="A15" s="3">
        <v>2</v>
      </c>
      <c r="B15" s="4" t="s">
        <v>19</v>
      </c>
      <c r="C15" s="3">
        <v>0</v>
      </c>
      <c r="D15" s="3">
        <v>0</v>
      </c>
      <c r="E15" s="3">
        <f t="shared" ref="E15:E16" si="2">C15-D15</f>
        <v>0</v>
      </c>
      <c r="F15" s="5">
        <v>0</v>
      </c>
    </row>
    <row r="16" spans="1:6" x14ac:dyDescent="0.3">
      <c r="A16" s="3">
        <v>3</v>
      </c>
      <c r="B16" s="4" t="s">
        <v>93</v>
      </c>
      <c r="C16" s="6">
        <f>11.25*100+5*100</f>
        <v>1625</v>
      </c>
      <c r="D16" s="6">
        <v>234</v>
      </c>
      <c r="E16" s="3">
        <f t="shared" si="2"/>
        <v>1391</v>
      </c>
      <c r="F16" s="5">
        <f>E16/C16</f>
        <v>0.85599999999999998</v>
      </c>
    </row>
    <row r="19" spans="1:4" x14ac:dyDescent="0.3">
      <c r="A19" s="48" t="s">
        <v>121</v>
      </c>
      <c r="B19" s="49"/>
      <c r="C19" s="50"/>
    </row>
    <row r="20" spans="1:4" x14ac:dyDescent="0.3">
      <c r="A20" s="2" t="s">
        <v>20</v>
      </c>
      <c r="B20" s="10" t="s">
        <v>21</v>
      </c>
      <c r="C20" s="1" t="s">
        <v>22</v>
      </c>
    </row>
    <row r="21" spans="1:4" x14ac:dyDescent="0.3">
      <c r="A21" s="47" t="s">
        <v>23</v>
      </c>
      <c r="B21" s="4" t="s">
        <v>24</v>
      </c>
      <c r="C21" s="3">
        <v>63</v>
      </c>
      <c r="D21" s="46" t="s">
        <v>120</v>
      </c>
    </row>
    <row r="22" spans="1:4" x14ac:dyDescent="0.3">
      <c r="A22" s="47"/>
      <c r="B22" s="4" t="s">
        <v>25</v>
      </c>
      <c r="C22" s="3">
        <v>42</v>
      </c>
    </row>
    <row r="23" spans="1:4" x14ac:dyDescent="0.3">
      <c r="A23" s="47"/>
      <c r="B23" s="4" t="s">
        <v>35</v>
      </c>
      <c r="C23" s="3"/>
    </row>
    <row r="24" spans="1:4" x14ac:dyDescent="0.3">
      <c r="A24" s="47"/>
      <c r="B24" s="18" t="s">
        <v>16</v>
      </c>
      <c r="C24" s="19">
        <f>SUM(C21:C23)</f>
        <v>105</v>
      </c>
    </row>
    <row r="25" spans="1:4" x14ac:dyDescent="0.3">
      <c r="A25" s="51" t="s">
        <v>26</v>
      </c>
      <c r="B25" s="4" t="s">
        <v>113</v>
      </c>
      <c r="C25" s="3">
        <v>10989.43</v>
      </c>
    </row>
    <row r="26" spans="1:4" x14ac:dyDescent="0.3">
      <c r="A26" s="52"/>
      <c r="B26" s="4" t="s">
        <v>115</v>
      </c>
      <c r="C26" s="3">
        <v>681.9</v>
      </c>
    </row>
    <row r="27" spans="1:4" x14ac:dyDescent="0.3">
      <c r="A27" s="52"/>
      <c r="B27" s="4" t="s">
        <v>114</v>
      </c>
      <c r="C27" s="3">
        <f>37717.34-C26</f>
        <v>37035.439999999995</v>
      </c>
    </row>
    <row r="28" spans="1:4" ht="43.2" x14ac:dyDescent="0.3">
      <c r="A28" s="52"/>
      <c r="B28" s="44" t="s">
        <v>116</v>
      </c>
      <c r="C28" s="3">
        <v>48459</v>
      </c>
    </row>
    <row r="29" spans="1:4" x14ac:dyDescent="0.3">
      <c r="A29" s="52"/>
      <c r="B29" s="18" t="s">
        <v>16</v>
      </c>
      <c r="C29" s="28">
        <f>SUM(C25:C28)</f>
        <v>97165.76999999999</v>
      </c>
    </row>
    <row r="30" spans="1:4" x14ac:dyDescent="0.3">
      <c r="A30" s="53"/>
      <c r="B30" s="4" t="s">
        <v>27</v>
      </c>
      <c r="C30" s="13">
        <f>(C25+C26)/C29</f>
        <v>0.120117712235492</v>
      </c>
    </row>
    <row r="31" spans="1:4" x14ac:dyDescent="0.3">
      <c r="A31" s="51" t="s">
        <v>109</v>
      </c>
      <c r="B31" s="4" t="s">
        <v>28</v>
      </c>
      <c r="C31" s="29">
        <v>968</v>
      </c>
    </row>
    <row r="32" spans="1:4" x14ac:dyDescent="0.3">
      <c r="A32" s="52"/>
      <c r="B32" s="4" t="s">
        <v>29</v>
      </c>
      <c r="C32" s="29">
        <f>(C33-C31)</f>
        <v>10189.1456</v>
      </c>
    </row>
    <row r="33" spans="1:3" x14ac:dyDescent="0.3">
      <c r="A33" s="52"/>
      <c r="B33" s="11" t="s">
        <v>16</v>
      </c>
      <c r="C33" s="29">
        <f>45952*24280/100000</f>
        <v>11157.1456</v>
      </c>
    </row>
    <row r="34" spans="1:3" x14ac:dyDescent="0.3">
      <c r="A34" s="53"/>
      <c r="B34" s="14" t="s">
        <v>31</v>
      </c>
      <c r="C34" s="15">
        <v>0</v>
      </c>
    </row>
    <row r="35" spans="1:3" x14ac:dyDescent="0.3">
      <c r="A35" s="51" t="s">
        <v>108</v>
      </c>
      <c r="B35" s="4" t="s">
        <v>16</v>
      </c>
      <c r="C35" s="3">
        <f>C10</f>
        <v>10425</v>
      </c>
    </row>
    <row r="36" spans="1:3" x14ac:dyDescent="0.3">
      <c r="A36" s="52"/>
      <c r="B36" s="4" t="s">
        <v>32</v>
      </c>
      <c r="C36" s="3">
        <f>D10</f>
        <v>6073</v>
      </c>
    </row>
    <row r="37" spans="1:3" x14ac:dyDescent="0.3">
      <c r="A37" s="52"/>
      <c r="B37" s="14" t="s">
        <v>17</v>
      </c>
      <c r="C37" s="15">
        <f>C35-C36</f>
        <v>4352</v>
      </c>
    </row>
    <row r="38" spans="1:3" x14ac:dyDescent="0.3">
      <c r="A38" s="53"/>
      <c r="B38" s="4" t="s">
        <v>33</v>
      </c>
      <c r="C38" s="30">
        <f>C37/C35</f>
        <v>0.41745803357314148</v>
      </c>
    </row>
    <row r="39" spans="1:3" ht="28.8" x14ac:dyDescent="0.3">
      <c r="A39" s="17" t="s">
        <v>107</v>
      </c>
      <c r="B39" s="14" t="s">
        <v>34</v>
      </c>
      <c r="C39" s="31">
        <f>C33-C35</f>
        <v>732.14559999999983</v>
      </c>
    </row>
    <row r="40" spans="1:3" x14ac:dyDescent="0.3">
      <c r="A40" s="47" t="s">
        <v>103</v>
      </c>
      <c r="B40" s="47"/>
      <c r="C40" s="12"/>
    </row>
    <row r="41" spans="1:3" x14ac:dyDescent="0.3">
      <c r="A41" s="47" t="s">
        <v>104</v>
      </c>
      <c r="B41" s="47"/>
      <c r="C41" s="12">
        <f>D16*100</f>
        <v>23400</v>
      </c>
    </row>
    <row r="42" spans="1:3" x14ac:dyDescent="0.3">
      <c r="A42" s="47" t="s">
        <v>105</v>
      </c>
      <c r="B42" s="47"/>
      <c r="C42" s="12">
        <f>E16*100</f>
        <v>139100</v>
      </c>
    </row>
    <row r="43" spans="1:3" x14ac:dyDescent="0.3">
      <c r="A43" s="47" t="s">
        <v>106</v>
      </c>
      <c r="B43" s="47"/>
      <c r="C43" s="12">
        <f>C42-C41</f>
        <v>115700</v>
      </c>
    </row>
  </sheetData>
  <mergeCells count="16">
    <mergeCell ref="F12:F13"/>
    <mergeCell ref="A21:A24"/>
    <mergeCell ref="A35:A38"/>
    <mergeCell ref="A40:B40"/>
    <mergeCell ref="A1:E1"/>
    <mergeCell ref="A10:B10"/>
    <mergeCell ref="A12:A13"/>
    <mergeCell ref="B12:B13"/>
    <mergeCell ref="C12:C13"/>
    <mergeCell ref="E12:E13"/>
    <mergeCell ref="A41:B41"/>
    <mergeCell ref="A42:B42"/>
    <mergeCell ref="A43:B43"/>
    <mergeCell ref="A19:C19"/>
    <mergeCell ref="A25:A30"/>
    <mergeCell ref="A31:A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zoomScale="183" workbookViewId="0">
      <selection activeCell="B2" sqref="B2:B3"/>
    </sheetView>
  </sheetViews>
  <sheetFormatPr defaultRowHeight="14.4" x14ac:dyDescent="0.3"/>
  <cols>
    <col min="1" max="1" width="22.5546875" bestFit="1" customWidth="1"/>
    <col min="2" max="3" width="11.44140625" bestFit="1" customWidth="1"/>
    <col min="4" max="4" width="11" bestFit="1" customWidth="1"/>
    <col min="5" max="5" width="22.21875" bestFit="1" customWidth="1"/>
    <col min="6" max="6" width="9.44140625" bestFit="1" customWidth="1"/>
    <col min="7" max="8" width="7.5546875" bestFit="1" customWidth="1"/>
  </cols>
  <sheetData>
    <row r="1" spans="1:8" x14ac:dyDescent="0.3">
      <c r="A1" s="56" t="s">
        <v>112</v>
      </c>
      <c r="B1" s="57"/>
      <c r="C1" s="57"/>
      <c r="D1" s="57"/>
      <c r="E1" s="57"/>
      <c r="F1" s="57"/>
      <c r="G1" s="57"/>
      <c r="H1" s="58"/>
    </row>
    <row r="2" spans="1:8" x14ac:dyDescent="0.3">
      <c r="A2" s="54" t="s">
        <v>21</v>
      </c>
      <c r="B2" s="54" t="s">
        <v>23</v>
      </c>
      <c r="C2" s="54" t="s">
        <v>36</v>
      </c>
      <c r="D2" s="54" t="s">
        <v>37</v>
      </c>
      <c r="E2" s="55" t="s">
        <v>110</v>
      </c>
      <c r="F2" s="1" t="s">
        <v>38</v>
      </c>
      <c r="G2" s="55" t="s">
        <v>39</v>
      </c>
      <c r="H2" s="55" t="s">
        <v>40</v>
      </c>
    </row>
    <row r="3" spans="1:8" ht="33" customHeight="1" x14ac:dyDescent="0.3">
      <c r="A3" s="54"/>
      <c r="B3" s="54"/>
      <c r="C3" s="54"/>
      <c r="D3" s="54"/>
      <c r="E3" s="55"/>
      <c r="F3" s="1" t="s">
        <v>102</v>
      </c>
      <c r="G3" s="55"/>
      <c r="H3" s="55"/>
    </row>
    <row r="4" spans="1:8" x14ac:dyDescent="0.3">
      <c r="A4" s="12" t="s">
        <v>117</v>
      </c>
      <c r="B4" s="32">
        <v>62</v>
      </c>
      <c r="C4" s="34">
        <v>10989.43</v>
      </c>
      <c r="D4" s="34">
        <f>10759.36*24280/100000</f>
        <v>2612.3726080000001</v>
      </c>
      <c r="E4" s="34">
        <f>D4*65%</f>
        <v>1698.0421952000002</v>
      </c>
      <c r="F4" s="34">
        <v>880</v>
      </c>
      <c r="G4" s="34">
        <f>E4-F4</f>
        <v>818.04219520000015</v>
      </c>
      <c r="H4" s="35">
        <f>G4/E4</f>
        <v>0.48175610565651983</v>
      </c>
    </row>
    <row r="5" spans="1:8" x14ac:dyDescent="0.3">
      <c r="A5" s="12" t="s">
        <v>41</v>
      </c>
      <c r="B5" s="12">
        <v>62</v>
      </c>
      <c r="C5" s="33">
        <f t="shared" ref="C5:G5" si="0">C4</f>
        <v>10989.43</v>
      </c>
      <c r="D5" s="33">
        <f>D4</f>
        <v>2612.3726080000001</v>
      </c>
      <c r="E5" s="33">
        <f t="shared" si="0"/>
        <v>1698.0421952000002</v>
      </c>
      <c r="F5" s="33">
        <f t="shared" si="0"/>
        <v>880</v>
      </c>
      <c r="G5" s="33">
        <f t="shared" si="0"/>
        <v>818.04219520000015</v>
      </c>
      <c r="H5" s="33">
        <f>H4</f>
        <v>0.48175610565651983</v>
      </c>
    </row>
    <row r="6" spans="1:8" x14ac:dyDescent="0.3">
      <c r="A6" s="12" t="s">
        <v>115</v>
      </c>
      <c r="B6" s="3">
        <v>1</v>
      </c>
      <c r="C6" s="29">
        <v>681.9</v>
      </c>
      <c r="D6" s="29">
        <f>C6*20000/100000</f>
        <v>136.38</v>
      </c>
      <c r="E6" s="29">
        <f>D6*0.65</f>
        <v>88.647000000000006</v>
      </c>
      <c r="F6" s="29">
        <v>88.65</v>
      </c>
      <c r="G6" s="29">
        <f>D6-F6</f>
        <v>47.72999999999999</v>
      </c>
      <c r="H6" s="45">
        <f>G6/E6</f>
        <v>0.53842769636874332</v>
      </c>
    </row>
    <row r="7" spans="1:8" x14ac:dyDescent="0.3">
      <c r="A7" s="12" t="s">
        <v>42</v>
      </c>
      <c r="B7" s="32">
        <v>42</v>
      </c>
      <c r="C7" s="34">
        <f>37717.34-C6</f>
        <v>37035.439999999995</v>
      </c>
      <c r="D7" s="34">
        <f>C7*24925.61/100000</f>
        <v>9231.3093361839983</v>
      </c>
      <c r="E7" s="34">
        <v>0</v>
      </c>
      <c r="F7" s="34">
        <v>0</v>
      </c>
      <c r="G7" s="34">
        <v>0</v>
      </c>
      <c r="H7" s="34">
        <v>0</v>
      </c>
    </row>
    <row r="8" spans="1:8" x14ac:dyDescent="0.3">
      <c r="A8" s="12" t="s">
        <v>41</v>
      </c>
      <c r="B8" s="12">
        <v>43</v>
      </c>
      <c r="C8" s="33">
        <f t="shared" ref="C8:H8" si="1">SUM(C6:C7)</f>
        <v>37717.339999999997</v>
      </c>
      <c r="D8" s="33">
        <f t="shared" si="1"/>
        <v>9367.6893361839975</v>
      </c>
      <c r="E8" s="33">
        <f t="shared" si="1"/>
        <v>88.647000000000006</v>
      </c>
      <c r="F8" s="33">
        <f t="shared" si="1"/>
        <v>88.65</v>
      </c>
      <c r="G8" s="33">
        <f t="shared" si="1"/>
        <v>47.72999999999999</v>
      </c>
      <c r="H8" s="33">
        <f t="shared" si="1"/>
        <v>0.53842769636874332</v>
      </c>
    </row>
    <row r="9" spans="1:8" x14ac:dyDescent="0.3">
      <c r="A9" s="36" t="s">
        <v>43</v>
      </c>
      <c r="B9" s="36">
        <f t="shared" ref="B9:G9" si="2">B5+B8</f>
        <v>105</v>
      </c>
      <c r="C9" s="37">
        <f t="shared" si="2"/>
        <v>48706.77</v>
      </c>
      <c r="D9" s="37">
        <f>D5+D8</f>
        <v>11980.061944183997</v>
      </c>
      <c r="E9" s="37">
        <f>E5+E8</f>
        <v>1786.6891952000001</v>
      </c>
      <c r="F9" s="37">
        <f t="shared" si="2"/>
        <v>968.65</v>
      </c>
      <c r="G9" s="37">
        <f t="shared" si="2"/>
        <v>865.77219520000017</v>
      </c>
      <c r="H9" s="37">
        <f>H5+H8</f>
        <v>1.0201838020252632</v>
      </c>
    </row>
    <row r="10" spans="1:8" x14ac:dyDescent="0.3">
      <c r="D10" s="43"/>
    </row>
    <row r="11" spans="1:8" x14ac:dyDescent="0.3">
      <c r="D11" s="43"/>
    </row>
  </sheetData>
  <mergeCells count="8">
    <mergeCell ref="H2:H3"/>
    <mergeCell ref="A1:H1"/>
    <mergeCell ref="A2:A3"/>
    <mergeCell ref="B2:B3"/>
    <mergeCell ref="C2:C3"/>
    <mergeCell ref="D2:D3"/>
    <mergeCell ref="E2:E3"/>
    <mergeCell ref="G2:G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B13" sqref="B13"/>
    </sheetView>
  </sheetViews>
  <sheetFormatPr defaultRowHeight="14.4" x14ac:dyDescent="0.3"/>
  <cols>
    <col min="1" max="1" width="18.5546875" bestFit="1" customWidth="1"/>
    <col min="2" max="2" width="56.109375" bestFit="1" customWidth="1"/>
  </cols>
  <sheetData>
    <row r="1" spans="1:2" x14ac:dyDescent="0.3">
      <c r="A1" s="48" t="s">
        <v>62</v>
      </c>
      <c r="B1" s="50"/>
    </row>
    <row r="2" spans="1:2" x14ac:dyDescent="0.3">
      <c r="A2" s="1" t="s">
        <v>63</v>
      </c>
      <c r="B2" s="1"/>
    </row>
    <row r="3" spans="1:2" x14ac:dyDescent="0.3">
      <c r="A3" s="4"/>
      <c r="B3" s="4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zoomScale="154" workbookViewId="0">
      <selection activeCell="C18" sqref="C18"/>
    </sheetView>
  </sheetViews>
  <sheetFormatPr defaultRowHeight="14.4" x14ac:dyDescent="0.3"/>
  <cols>
    <col min="1" max="1" width="11.44140625" bestFit="1" customWidth="1"/>
    <col min="2" max="3" width="11.5546875" bestFit="1" customWidth="1"/>
    <col min="4" max="4" width="11.109375" bestFit="1" customWidth="1"/>
    <col min="5" max="5" width="6.6640625" bestFit="1" customWidth="1"/>
    <col min="6" max="6" width="7.6640625" bestFit="1" customWidth="1"/>
    <col min="7" max="7" width="7.88671875" bestFit="1" customWidth="1"/>
    <col min="8" max="8" width="6.109375" bestFit="1" customWidth="1"/>
  </cols>
  <sheetData>
    <row r="1" spans="1:8" x14ac:dyDescent="0.3">
      <c r="A1" s="59" t="s">
        <v>111</v>
      </c>
      <c r="B1" s="59"/>
      <c r="C1" s="59"/>
      <c r="D1" s="59"/>
      <c r="E1" s="59"/>
      <c r="F1" s="59"/>
      <c r="G1" s="59"/>
      <c r="H1" s="59"/>
    </row>
    <row r="2" spans="1:8" x14ac:dyDescent="0.3">
      <c r="A2" s="1" t="s">
        <v>21</v>
      </c>
      <c r="B2" s="1" t="s">
        <v>23</v>
      </c>
      <c r="C2" s="1" t="s">
        <v>36</v>
      </c>
      <c r="D2" s="1" t="s">
        <v>37</v>
      </c>
      <c r="E2" s="1" t="s">
        <v>38</v>
      </c>
      <c r="F2" s="2" t="s">
        <v>39</v>
      </c>
      <c r="G2" s="2" t="s">
        <v>40</v>
      </c>
      <c r="H2" s="1" t="s">
        <v>44</v>
      </c>
    </row>
    <row r="3" spans="1:8" x14ac:dyDescent="0.3">
      <c r="A3" s="1" t="s">
        <v>49</v>
      </c>
      <c r="B3" s="1"/>
      <c r="C3" s="1"/>
      <c r="D3" s="1"/>
      <c r="E3" s="1"/>
      <c r="F3" s="2"/>
      <c r="G3" s="2"/>
      <c r="H3" s="1"/>
    </row>
    <row r="4" spans="1:8" x14ac:dyDescent="0.3">
      <c r="A4" s="4" t="s">
        <v>45</v>
      </c>
      <c r="B4" s="3"/>
      <c r="C4" s="3"/>
      <c r="D4" s="3"/>
      <c r="E4" s="3"/>
      <c r="F4" s="3"/>
      <c r="G4" s="13">
        <v>0</v>
      </c>
      <c r="H4" s="9"/>
    </row>
    <row r="5" spans="1:8" x14ac:dyDescent="0.3">
      <c r="A5" s="4" t="s">
        <v>46</v>
      </c>
      <c r="B5" s="3"/>
      <c r="C5" s="3"/>
      <c r="D5" s="3"/>
      <c r="E5" s="3"/>
      <c r="F5" s="3"/>
      <c r="G5" s="13">
        <v>0</v>
      </c>
      <c r="H5" s="9"/>
    </row>
    <row r="6" spans="1:8" x14ac:dyDescent="0.3">
      <c r="A6" s="4" t="s">
        <v>47</v>
      </c>
      <c r="B6" s="3"/>
      <c r="C6" s="3"/>
      <c r="D6" s="3"/>
      <c r="E6" s="3"/>
      <c r="F6" s="3"/>
      <c r="G6" s="13">
        <v>0</v>
      </c>
      <c r="H6" s="16"/>
    </row>
    <row r="7" spans="1:8" x14ac:dyDescent="0.3">
      <c r="A7" s="4" t="s">
        <v>48</v>
      </c>
      <c r="B7" s="32">
        <v>41</v>
      </c>
      <c r="C7" s="34">
        <v>10989</v>
      </c>
      <c r="D7" s="29">
        <f>'Flats details'!E4</f>
        <v>1698.0421952000002</v>
      </c>
      <c r="E7" s="29">
        <f>'Flats details'!F4</f>
        <v>880</v>
      </c>
      <c r="F7" s="29">
        <f>D7-E7</f>
        <v>818.04219520000015</v>
      </c>
      <c r="G7" s="13">
        <f>E7/D7</f>
        <v>0.51824389434348017</v>
      </c>
      <c r="H7" s="16">
        <v>20000</v>
      </c>
    </row>
    <row r="8" spans="1:8" x14ac:dyDescent="0.3">
      <c r="A8" s="11" t="s">
        <v>49</v>
      </c>
      <c r="B8" s="32"/>
      <c r="C8" s="34"/>
      <c r="D8" s="3">
        <v>0</v>
      </c>
      <c r="E8" s="3">
        <v>0</v>
      </c>
      <c r="F8" s="3">
        <v>0</v>
      </c>
      <c r="G8" s="13">
        <v>0</v>
      </c>
      <c r="H8" s="7"/>
    </row>
    <row r="9" spans="1:8" x14ac:dyDescent="0.3">
      <c r="A9" s="4" t="s">
        <v>50</v>
      </c>
      <c r="B9" s="32"/>
      <c r="C9" s="34"/>
      <c r="D9" s="29">
        <f>'Flats details'!G4</f>
        <v>818.04219520000015</v>
      </c>
      <c r="E9" s="3">
        <v>0</v>
      </c>
      <c r="F9" s="29">
        <f t="shared" ref="F9:F16" si="0">D9-E9</f>
        <v>818.04219520000015</v>
      </c>
      <c r="G9" s="13">
        <f t="shared" ref="G9:G18" si="1">E9/D9</f>
        <v>0</v>
      </c>
      <c r="H9" s="7"/>
    </row>
    <row r="10" spans="1:8" x14ac:dyDescent="0.3">
      <c r="A10" s="4" t="s">
        <v>51</v>
      </c>
      <c r="B10" s="3"/>
      <c r="C10" s="29"/>
      <c r="D10" s="3">
        <f>9.65*100</f>
        <v>965</v>
      </c>
      <c r="E10" s="3">
        <v>0</v>
      </c>
      <c r="F10" s="29">
        <f t="shared" si="0"/>
        <v>965</v>
      </c>
      <c r="G10" s="13">
        <f t="shared" si="1"/>
        <v>0</v>
      </c>
      <c r="H10" s="7"/>
    </row>
    <row r="11" spans="1:8" x14ac:dyDescent="0.3">
      <c r="A11" s="4" t="s">
        <v>52</v>
      </c>
      <c r="B11" s="3"/>
      <c r="C11" s="29"/>
      <c r="D11" s="3"/>
      <c r="E11" s="3">
        <v>0</v>
      </c>
      <c r="F11" s="29">
        <f t="shared" si="0"/>
        <v>0</v>
      </c>
      <c r="G11" s="13">
        <v>0</v>
      </c>
      <c r="H11" s="7"/>
    </row>
    <row r="12" spans="1:8" x14ac:dyDescent="0.3">
      <c r="A12" s="4" t="s">
        <v>53</v>
      </c>
      <c r="B12" s="3">
        <v>1</v>
      </c>
      <c r="C12" s="29">
        <v>681.9</v>
      </c>
      <c r="D12" s="3">
        <f>7.52*100</f>
        <v>752</v>
      </c>
      <c r="E12" s="29">
        <f>'Flats details'!F6</f>
        <v>88.65</v>
      </c>
      <c r="F12" s="29">
        <f t="shared" si="0"/>
        <v>663.35</v>
      </c>
      <c r="G12" s="13">
        <f t="shared" si="1"/>
        <v>0.11788563829787235</v>
      </c>
      <c r="H12" s="7">
        <v>22234</v>
      </c>
    </row>
    <row r="13" spans="1:8" x14ac:dyDescent="0.3">
      <c r="A13" s="4" t="s">
        <v>54</v>
      </c>
      <c r="B13" s="12"/>
      <c r="C13" s="33"/>
      <c r="D13" s="12">
        <f>1.87*100</f>
        <v>187</v>
      </c>
      <c r="E13" s="3">
        <v>0</v>
      </c>
      <c r="F13" s="29">
        <f t="shared" si="0"/>
        <v>187</v>
      </c>
      <c r="G13" s="13">
        <f t="shared" si="1"/>
        <v>0</v>
      </c>
      <c r="H13" s="16"/>
    </row>
    <row r="14" spans="1:8" x14ac:dyDescent="0.3">
      <c r="A14" s="4" t="s">
        <v>55</v>
      </c>
      <c r="B14" s="32">
        <v>17</v>
      </c>
      <c r="C14" s="34">
        <v>10672</v>
      </c>
      <c r="D14" s="9">
        <f>1.74*100</f>
        <v>174</v>
      </c>
      <c r="E14" s="3">
        <v>0</v>
      </c>
      <c r="F14" s="29">
        <f t="shared" si="0"/>
        <v>174</v>
      </c>
      <c r="G14" s="13">
        <v>0</v>
      </c>
      <c r="H14" s="9"/>
    </row>
    <row r="15" spans="1:8" x14ac:dyDescent="0.3">
      <c r="A15" s="4" t="s">
        <v>56</v>
      </c>
      <c r="B15" s="32">
        <f>64-B12-B14</f>
        <v>46</v>
      </c>
      <c r="C15" s="34">
        <f>34963-C12-C14</f>
        <v>23609.1</v>
      </c>
      <c r="D15" s="9">
        <f>7.52*100</f>
        <v>752</v>
      </c>
      <c r="E15" s="3">
        <v>0</v>
      </c>
      <c r="F15" s="29">
        <f t="shared" si="0"/>
        <v>752</v>
      </c>
      <c r="G15" s="13">
        <f t="shared" si="1"/>
        <v>0</v>
      </c>
      <c r="H15" s="9">
        <v>21000</v>
      </c>
    </row>
    <row r="16" spans="1:8" x14ac:dyDescent="0.3">
      <c r="A16" s="4" t="s">
        <v>57</v>
      </c>
      <c r="B16" s="9"/>
      <c r="C16" s="32"/>
      <c r="D16" s="9">
        <f>1.87*100</f>
        <v>187</v>
      </c>
      <c r="E16" s="3">
        <v>0</v>
      </c>
      <c r="F16" s="29">
        <f t="shared" si="0"/>
        <v>187</v>
      </c>
      <c r="G16" s="13">
        <f t="shared" si="1"/>
        <v>0</v>
      </c>
      <c r="H16" s="9"/>
    </row>
    <row r="17" spans="1:8" x14ac:dyDescent="0.3">
      <c r="A17" s="4" t="s">
        <v>58</v>
      </c>
      <c r="B17" s="9"/>
      <c r="C17" s="32"/>
      <c r="D17" s="9">
        <f>49.73*100</f>
        <v>4973</v>
      </c>
      <c r="E17" s="3">
        <v>0</v>
      </c>
      <c r="F17" s="29">
        <f>D17-E17</f>
        <v>4973</v>
      </c>
      <c r="G17" s="13">
        <f t="shared" si="1"/>
        <v>0</v>
      </c>
      <c r="H17" s="9"/>
    </row>
    <row r="18" spans="1:8" x14ac:dyDescent="0.3">
      <c r="A18" s="4" t="s">
        <v>59</v>
      </c>
      <c r="B18" s="9"/>
      <c r="C18" s="9"/>
      <c r="D18" s="9">
        <f>(3.23+3.22+1.87+0.01+2.0675)*100-388.685</f>
        <v>651.06500000000005</v>
      </c>
      <c r="E18" s="3">
        <v>0</v>
      </c>
      <c r="F18" s="29">
        <f>D18-E18</f>
        <v>651.06500000000005</v>
      </c>
      <c r="G18" s="13">
        <f t="shared" si="1"/>
        <v>0</v>
      </c>
      <c r="H18" s="9"/>
    </row>
    <row r="19" spans="1:8" x14ac:dyDescent="0.3">
      <c r="A19" s="4" t="s">
        <v>60</v>
      </c>
      <c r="B19" s="9"/>
      <c r="C19" s="9"/>
      <c r="D19" s="9"/>
      <c r="E19" s="9"/>
      <c r="F19" s="9"/>
      <c r="G19" s="13">
        <v>0</v>
      </c>
      <c r="H19" s="9"/>
    </row>
    <row r="20" spans="1:8" x14ac:dyDescent="0.3">
      <c r="A20" s="4" t="s">
        <v>61</v>
      </c>
      <c r="B20" s="9"/>
      <c r="C20" s="9"/>
      <c r="D20" s="9"/>
      <c r="E20" s="9"/>
      <c r="F20" s="9"/>
      <c r="G20" s="9"/>
      <c r="H20" s="9"/>
    </row>
    <row r="21" spans="1:8" ht="18" x14ac:dyDescent="0.35">
      <c r="A21" s="39" t="s">
        <v>16</v>
      </c>
      <c r="B21" s="38">
        <f>SUM(B4:B20)</f>
        <v>105</v>
      </c>
      <c r="C21" s="38">
        <f>SUM(C4:C20)</f>
        <v>45952</v>
      </c>
      <c r="D21" s="42">
        <f>SUM(D4:D20)</f>
        <v>11157.1493904</v>
      </c>
      <c r="E21" s="38">
        <f>SUM(E4:E20)</f>
        <v>968.65</v>
      </c>
      <c r="F21" s="38">
        <f>SUM(F4:F20)</f>
        <v>10188.4993904</v>
      </c>
      <c r="G21" s="38"/>
      <c r="H21" s="9"/>
    </row>
    <row r="22" spans="1:8" x14ac:dyDescent="0.3">
      <c r="D22" s="43"/>
    </row>
    <row r="23" spans="1:8" x14ac:dyDescent="0.3">
      <c r="D23" s="43"/>
    </row>
    <row r="24" spans="1:8" x14ac:dyDescent="0.3">
      <c r="D24" s="43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workbookViewId="0">
      <selection activeCell="C7" sqref="C7"/>
    </sheetView>
  </sheetViews>
  <sheetFormatPr defaultRowHeight="14.4" x14ac:dyDescent="0.3"/>
  <cols>
    <col min="1" max="1" width="18.109375" bestFit="1" customWidth="1"/>
    <col min="2" max="2" width="28.5546875" customWidth="1"/>
    <col min="3" max="3" width="21.88671875" customWidth="1"/>
    <col min="4" max="4" width="24" customWidth="1"/>
    <col min="5" max="5" width="14.6640625" customWidth="1"/>
    <col min="6" max="6" width="15" bestFit="1" customWidth="1"/>
  </cols>
  <sheetData>
    <row r="1" spans="1:6" x14ac:dyDescent="0.3">
      <c r="A1" s="21" t="s">
        <v>64</v>
      </c>
      <c r="B1" s="20" t="s">
        <v>65</v>
      </c>
      <c r="C1" s="20" t="s">
        <v>66</v>
      </c>
      <c r="D1" s="20" t="s">
        <v>67</v>
      </c>
      <c r="E1" s="20" t="s">
        <v>68</v>
      </c>
      <c r="F1" s="20" t="s">
        <v>69</v>
      </c>
    </row>
    <row r="2" spans="1:6" x14ac:dyDescent="0.3">
      <c r="A2" s="22" t="s">
        <v>70</v>
      </c>
      <c r="B2" s="6">
        <v>10</v>
      </c>
      <c r="C2" s="6">
        <v>10</v>
      </c>
      <c r="D2" s="6">
        <v>10</v>
      </c>
      <c r="E2" s="6">
        <v>10</v>
      </c>
      <c r="F2" s="6" t="s">
        <v>30</v>
      </c>
    </row>
    <row r="3" spans="1:6" x14ac:dyDescent="0.3">
      <c r="A3" s="22" t="s">
        <v>71</v>
      </c>
      <c r="B3" s="6">
        <v>10</v>
      </c>
      <c r="C3" s="6">
        <v>10</v>
      </c>
      <c r="D3" s="6">
        <v>10</v>
      </c>
      <c r="E3" s="6">
        <v>10</v>
      </c>
      <c r="F3" s="6" t="s">
        <v>30</v>
      </c>
    </row>
    <row r="4" spans="1:6" s="24" customFormat="1" x14ac:dyDescent="0.3">
      <c r="A4" s="23" t="s">
        <v>72</v>
      </c>
      <c r="B4" s="40">
        <v>0.8</v>
      </c>
      <c r="C4" s="40">
        <v>0.8</v>
      </c>
      <c r="D4" s="40">
        <v>0.8</v>
      </c>
      <c r="E4" s="40">
        <v>0.8</v>
      </c>
      <c r="F4" s="6" t="s">
        <v>30</v>
      </c>
    </row>
    <row r="5" spans="1:6" x14ac:dyDescent="0.3">
      <c r="A5" s="22" t="s">
        <v>73</v>
      </c>
      <c r="B5" s="41">
        <v>0.4</v>
      </c>
      <c r="C5" s="41">
        <v>0.4</v>
      </c>
      <c r="D5" s="41">
        <v>0.4</v>
      </c>
      <c r="E5" s="41">
        <v>0.4</v>
      </c>
      <c r="F5" s="6" t="s">
        <v>30</v>
      </c>
    </row>
    <row r="6" spans="1:6" x14ac:dyDescent="0.3">
      <c r="A6" s="22" t="s">
        <v>74</v>
      </c>
      <c r="B6" s="60">
        <f>40/80</f>
        <v>0.5</v>
      </c>
      <c r="C6" s="60"/>
      <c r="D6" s="60"/>
      <c r="E6" s="60"/>
      <c r="F6" s="60"/>
    </row>
  </sheetData>
  <mergeCells count="1"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Project Details</vt:lpstr>
      <vt:lpstr>Costing</vt:lpstr>
      <vt:lpstr>Flats details</vt:lpstr>
      <vt:lpstr>Sheet4</vt:lpstr>
      <vt:lpstr>Sales</vt:lpstr>
      <vt:lpstr>Construction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Sayli Shinde (Commercial Bank, KMBL)</dc:creator>
  <cp:lastModifiedBy>Vipin Gandhi</cp:lastModifiedBy>
  <dcterms:created xsi:type="dcterms:W3CDTF">2024-02-29T10:52:33Z</dcterms:created>
  <dcterms:modified xsi:type="dcterms:W3CDTF">2024-09-19T05:25:03Z</dcterms:modified>
</cp:coreProperties>
</file>