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0940\"/>
    </mc:Choice>
  </mc:AlternateContent>
  <bookViews>
    <workbookView xWindow="-120" yWindow="-120" windowWidth="29040" windowHeight="15720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62913"/>
</workbook>
</file>

<file path=xl/calcChain.xml><?xml version="1.0" encoding="utf-8"?>
<calcChain xmlns="http://schemas.openxmlformats.org/spreadsheetml/2006/main">
  <c r="E58" i="4" l="1"/>
  <c r="P91" i="4"/>
  <c r="D60" i="4"/>
  <c r="D59" i="4"/>
  <c r="D58" i="4"/>
  <c r="D57" i="4"/>
  <c r="D54" i="4"/>
  <c r="D49" i="4"/>
  <c r="I49" i="4"/>
  <c r="E55" i="4"/>
  <c r="E39" i="4"/>
  <c r="D42" i="4"/>
  <c r="O91" i="4"/>
  <c r="D41" i="4"/>
  <c r="D40" i="4"/>
  <c r="D39" i="4"/>
  <c r="D35" i="4"/>
  <c r="I48" i="4"/>
  <c r="D30" i="4"/>
  <c r="I87" i="4"/>
  <c r="O82" i="4"/>
  <c r="J89" i="4"/>
  <c r="I89" i="4"/>
  <c r="I86" i="4"/>
  <c r="I82" i="4"/>
  <c r="J82" i="4"/>
  <c r="E66" i="4"/>
  <c r="C13" i="4"/>
  <c r="F7" i="4"/>
  <c r="F16" i="4" l="1"/>
  <c r="O30" i="4" l="1"/>
  <c r="D76" i="4" l="1"/>
  <c r="D70" i="4"/>
  <c r="D68" i="4"/>
  <c r="D66" i="4"/>
  <c r="D67" i="4" s="1"/>
  <c r="D51" i="4"/>
  <c r="D47" i="4"/>
  <c r="D48" i="4" s="1"/>
  <c r="G34" i="4"/>
  <c r="P17" i="4"/>
  <c r="P16" i="4"/>
  <c r="P15" i="4"/>
  <c r="P13" i="4"/>
  <c r="D71" i="4" l="1"/>
  <c r="D72" i="4" s="1"/>
  <c r="D73" i="4" s="1"/>
  <c r="D77" i="4" s="1"/>
  <c r="D61" i="4"/>
  <c r="D52" i="4"/>
  <c r="D53" i="4" s="1"/>
  <c r="P10" i="4"/>
  <c r="Q10" i="4" s="1"/>
  <c r="J10" i="4"/>
  <c r="P9" i="4"/>
  <c r="J9" i="4"/>
  <c r="P8" i="4"/>
  <c r="J8" i="4"/>
  <c r="P7" i="4"/>
  <c r="J7" i="4"/>
  <c r="P6" i="4"/>
  <c r="J6" i="4"/>
  <c r="P5" i="4"/>
  <c r="J5" i="4"/>
  <c r="Q4" i="4"/>
  <c r="J4" i="4"/>
  <c r="P3" i="4"/>
  <c r="Q3" i="4" s="1"/>
  <c r="J3" i="4"/>
  <c r="P21" i="4"/>
  <c r="Q21" i="4" s="1"/>
  <c r="J21" i="4"/>
  <c r="Q20" i="4"/>
  <c r="P20" i="4"/>
  <c r="J20" i="4"/>
  <c r="P19" i="4"/>
  <c r="Q19" i="4" s="1"/>
  <c r="J19" i="4"/>
  <c r="P18" i="4"/>
  <c r="Q18" i="4" s="1"/>
  <c r="J18" i="4"/>
  <c r="Q17" i="4"/>
  <c r="J17" i="4"/>
  <c r="Q16" i="4"/>
  <c r="J16" i="4"/>
  <c r="Q15" i="4"/>
  <c r="J15" i="4"/>
  <c r="P14" i="4"/>
  <c r="J14" i="4"/>
  <c r="Q13" i="4"/>
  <c r="J13" i="4"/>
  <c r="D80" i="4" l="1"/>
  <c r="D79" i="4"/>
  <c r="D78" i="4"/>
  <c r="D38" i="4"/>
  <c r="D32" i="4"/>
  <c r="D28" i="4"/>
  <c r="D29" i="4" s="1"/>
  <c r="D33" i="4" l="1"/>
  <c r="D34" i="4" s="1"/>
  <c r="P22" i="4" l="1"/>
  <c r="Q22" i="4" s="1"/>
  <c r="B22" i="4" s="1"/>
  <c r="C22" i="4" s="1"/>
  <c r="D22" i="4" s="1"/>
  <c r="J22" i="4"/>
  <c r="I22" i="4"/>
  <c r="E22" i="4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H22" i="4" l="1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8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<sst xmlns="http://schemas.openxmlformats.org/spreadsheetml/2006/main" count="102" uniqueCount="52">
  <si>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</si>
  <si>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</si>
  <si>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</si>
  <si>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</si>
  <si>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</si>
  <si>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</si>
  <si>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</si>
  <si>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</si>
  <si>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</si>
  <si>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</si>
  <si>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</si>
  <si>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</si>
  <si>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</si>
  <si>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</si>
  <si>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</si>
  <si>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</si>
  <si>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</si>
  <si>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</si>
  <si>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</si>
  <si>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</si>
  <si>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</si>
  <si>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</si>
  <si>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</si>
  <si>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</si>
  <si>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</si>
  <si>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</si>
  <si>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</si>
  <si>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</si>
  <si>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</si>
  <si>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</si>
  <si>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</si>
  <si>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>Residential Unit No. 908, 1101, 1102 9th Floor, 11th floor Crescent Royale, MOrya Estate Off Veera Desai Road, Off New Link ROad, Village - Oshiwara, Andheri West, Mumbai, 400053, State - Maharashtra, India</t>
  </si>
  <si>
    <t>Unit No. 908</t>
  </si>
  <si>
    <t>Unit No. 1101</t>
  </si>
  <si>
    <t>Unit No. 1102</t>
  </si>
  <si>
    <t xml:space="preserve">CTS No. 720/A VILLAGE Oshiwara </t>
  </si>
  <si>
    <t xml:space="preserve">Agreement Built Up Area </t>
  </si>
  <si>
    <t>sq.ft</t>
  </si>
  <si>
    <t>11.05.2018</t>
  </si>
  <si>
    <t xml:space="preserve">Measured Carpet Area </t>
  </si>
  <si>
    <t>359 sq.ft Mezzanine</t>
  </si>
  <si>
    <t xml:space="preserve">30k to 36k as per Engineer </t>
  </si>
  <si>
    <t>27.06.2015</t>
  </si>
  <si>
    <t xml:space="preserve">Agreement value </t>
  </si>
  <si>
    <t xml:space="preserve">Previous Report  value </t>
  </si>
  <si>
    <t>09.11.2015</t>
  </si>
  <si>
    <t xml:space="preserve">Agreement Carpet Area </t>
  </si>
  <si>
    <t>Carpet  Area in sq.ft -Unit - 908</t>
  </si>
  <si>
    <t>Carpet  Area in sq.ft -Unit - 1101</t>
  </si>
  <si>
    <t>Carpet Area  in sq.ft -Unit - 1102</t>
  </si>
  <si>
    <t>As per O.C/Previous report</t>
  </si>
  <si>
    <t>Unit No. 1001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</si>
</sst>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2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0000"/>
      <name val="Arial Narrow"/>
      <family val="2"/>
    </font>
    <font>
      <sz val="8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43" fontId="6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9" fillId="0" borderId="1" xfId="1" applyNumberFormat="1" applyFont="1" applyFill="1" applyBorder="1"/>
    <xf numFmtId="0" fontId="10" fillId="0" borderId="1" xfId="1" applyNumberFormat="1" applyFont="1" applyFill="1" applyBorder="1" applyAlignment="1">
      <alignment wrapText="1"/>
    </xf>
    <xf numFmtId="0" fontId="0" fillId="0" borderId="1" xfId="0" applyBorder="1"/>
    <xf numFmtId="0" fontId="10" fillId="0" borderId="1" xfId="1" applyNumberFormat="1" applyFont="1" applyFill="1" applyBorder="1"/>
    <xf numFmtId="0" fontId="9" fillId="0" borderId="1" xfId="0" applyFont="1" applyBorder="1"/>
    <xf numFmtId="43" fontId="0" fillId="0" borderId="1" xfId="0" applyNumberFormat="1" applyBorder="1"/>
    <xf numFmtId="0" fontId="6" fillId="0" borderId="1" xfId="1" applyNumberFormat="1" applyFont="1" applyFill="1" applyBorder="1"/>
    <xf numFmtId="10" fontId="6" fillId="0" borderId="1" xfId="1" applyNumberFormat="1" applyFont="1" applyFill="1" applyBorder="1"/>
    <xf numFmtId="0" fontId="10" fillId="3" borderId="1" xfId="0" applyFont="1" applyFill="1" applyBorder="1"/>
    <xf numFmtId="43" fontId="2" fillId="3" borderId="1" xfId="0" applyNumberFormat="1" applyFont="1" applyFill="1" applyBorder="1"/>
    <xf numFmtId="43" fontId="11" fillId="3" borderId="1" xfId="0" applyNumberFormat="1" applyFont="1" applyFill="1" applyBorder="1"/>
    <xf numFmtId="0" fontId="6" fillId="0" borderId="0" xfId="0" applyFont="1" applyBorder="1"/>
    <xf numFmtId="43" fontId="6" fillId="0" borderId="0" xfId="0" applyNumberFormat="1" applyFont="1" applyBorder="1"/>
    <xf numFmtId="10" fontId="6" fillId="0" borderId="0" xfId="0" applyNumberFormat="1" applyFont="1" applyBorder="1"/>
    <xf numFmtId="0" fontId="7" fillId="0" borderId="0" xfId="0" applyFont="1" applyBorder="1"/>
    <xf numFmtId="43" fontId="7" fillId="0" borderId="0" xfId="0" applyNumberFormat="1" applyFont="1" applyBorder="1"/>
    <xf numFmtId="0" fontId="13" fillId="0" borderId="0" xfId="0" applyFont="1" applyFill="1"/>
    <xf numFmtId="0" fontId="12" fillId="0" borderId="0" xfId="0" applyFont="1"/>
    <xf numFmtId="43" fontId="0" fillId="0" borderId="0" xfId="0" applyNumberFormat="1"/>
    <xf numFmtId="0" fontId="0" fillId="0" borderId="0" xfId="0" applyAlignment="1">
      <alignment horizontal="right"/>
    </xf>
    <xf numFmtId="0" fontId="6" fillId="0" borderId="0" xfId="0" applyFont="1" applyBorder="1" applyAlignment="1">
      <alignment horizontal="right"/>
    </xf>
    <xf numFmtId="0" fontId="15" fillId="0" borderId="0" xfId="0" applyFont="1"/>
    <xf numFmtId="0" fontId="16" fillId="0" borderId="0" xfId="0" applyFont="1" applyFill="1"/>
    <xf numFmtId="43" fontId="16" fillId="0" borderId="0" xfId="1" applyFont="1" applyFill="1"/>
    <xf numFmtId="0" fontId="0" fillId="4" borderId="1" xfId="0" applyFill="1" applyBorder="1"/>
    <xf numFmtId="0" fontId="1" fillId="4" borderId="0" xfId="0" applyFont="1" applyFill="1"/>
    <xf numFmtId="0" fontId="17" fillId="0" borderId="1" xfId="1" applyNumberFormat="1" applyFont="1" applyFill="1" applyBorder="1" applyAlignment="1">
      <alignment wrapText="1"/>
    </xf>
    <xf numFmtId="43" fontId="17" fillId="0" borderId="1" xfId="0" applyNumberFormat="1" applyFont="1" applyBorder="1"/>
    <xf numFmtId="43" fontId="19" fillId="0" borderId="0" xfId="0" applyNumberFormat="1" applyFont="1"/>
    <xf numFmtId="0" fontId="20" fillId="0" borderId="0" xfId="0" applyFont="1"/>
    <xf numFmtId="2" fontId="0" fillId="0" borderId="0" xfId="0" applyNumberFormat="1" applyAlignment="1"/>
    <xf numFmtId="43" fontId="0" fillId="0" borderId="0" xfId="1" applyFont="1"/>
    <xf numFmtId="0" fontId="2" fillId="4" borderId="0" xfId="0" applyFont="1" applyFill="1"/>
    <xf numFmtId="0" fontId="20" fillId="4" borderId="0" xfId="0" applyFont="1" applyFill="1"/>
    <xf numFmtId="43" fontId="19" fillId="4" borderId="0" xfId="0" applyNumberFormat="1" applyFont="1" applyFill="1"/>
    <xf numFmtId="2" fontId="0" fillId="4" borderId="0" xfId="0" applyNumberFormat="1" applyFill="1"/>
    <xf numFmtId="0" fontId="0" fillId="4" borderId="0" xfId="0" applyFill="1"/>
    <xf numFmtId="2" fontId="0" fillId="4" borderId="0" xfId="0" applyNumberFormat="1" applyFill="1" applyAlignment="1"/>
    <xf numFmtId="0" fontId="14" fillId="0" borderId="0" xfId="0" applyFont="1" applyAlignment="1">
      <alignment horizontal="left" vertical="center" wrapText="1"/>
    </xf>
    <xf numFmtId="166" fontId="0" fillId="0" borderId="0" xfId="1" applyNumberFormat="1" applyFont="1"/>
    <xf numFmtId="166" fontId="0" fillId="0" borderId="0" xfId="0" applyNumberFormat="1"/>
    <xf numFmtId="166" fontId="2" fillId="3" borderId="1" xfId="0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21168</xdr:colOff>
      <xdr:row>37</xdr:row>
      <xdr:rowOff>137582</xdr:rowOff>
    </xdr:from>
    <xdr:to>
      <xdr:col>23</xdr:col>
      <xdr:colOff>254001</xdr:colOff>
      <xdr:row>45</xdr:row>
      <xdr:rowOff>137583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BAAF25-168E-4591-B4C8-6EAB4DCE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1" y="8381999"/>
          <a:ext cx="7090833" cy="1725084"/>
        </a:xfrm>
        <a:prstGeom prst="rect">
          <a:avLst/>
        </a:prstGeom>
      </xdr:spPr>
    </xdr:pic>
    <xdr:clientData/>
  </xdr:twoCellAnchor>
  <xdr:twoCellAnchor editAs="oneCell">
    <xdr:from>
      <xdr:col>5</xdr:col>
      <xdr:colOff>656166</xdr:colOff>
      <xdr:row>52</xdr:row>
      <xdr:rowOff>113411</xdr:rowOff>
    </xdr:from>
    <xdr:to>
      <xdr:col>21</xdr:col>
      <xdr:colOff>321109</xdr:colOff>
      <xdr:row>78</xdr:row>
      <xdr:rowOff>31751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7B0E1F-E299-4877-A91A-17A31873D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7833" y="11596328"/>
          <a:ext cx="11634693" cy="54005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19050</xdr:rowOff>
    </xdr:from>
    <xdr:to>
      <xdr:col>18</xdr:col>
      <xdr:colOff>134104</xdr:colOff>
      <xdr:row>39</xdr:row>
      <xdr:rowOff>172508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E17A83-4A38-44B2-8C1C-FEC022B8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05475" y="19050"/>
          <a:ext cx="5401429" cy="7582958"/>
        </a:xfrm>
        <a:prstGeom prst="rect">
          <a:avLst/>
        </a:prstGeom>
      </xdr:spPr>
    </xdr:pic>
    <xdr:clientData/>
  </xdr:twoCellAnchor>
  <xdr:twoCellAnchor editAs="oneCell">
    <xdr:from>
      <xdr:col>18</xdr:col>
      <xdr:colOff>438150</xdr:colOff>
      <xdr:row>0</xdr:row>
      <xdr:rowOff>142875</xdr:rowOff>
    </xdr:from>
    <xdr:to>
      <xdr:col>33</xdr:col>
      <xdr:colOff>277479</xdr:colOff>
      <xdr:row>46</xdr:row>
      <xdr:rowOff>1203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CFAE51-92F1-4B63-B2C7-03E4FEF6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10950" y="142875"/>
          <a:ext cx="8983329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372718</xdr:colOff>
      <xdr:row>46</xdr:row>
      <xdr:rowOff>86923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27DFB8-4418-4AC3-8BEF-49692C87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907118" cy="8583223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0</xdr:row>
      <xdr:rowOff>0</xdr:rowOff>
    </xdr:from>
    <xdr:to>
      <xdr:col>30</xdr:col>
      <xdr:colOff>544188</xdr:colOff>
      <xdr:row>46</xdr:row>
      <xdr:rowOff>105975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4DE4AF-6D14-40A4-8559-190A7A92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82175" y="0"/>
          <a:ext cx="905001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E6AFCD-04C4-4509-A05B-0C0354C2D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6896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420350</xdr:colOff>
      <xdr:row>45</xdr:row>
      <xdr:rowOff>67881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640CEB-CE64-407E-9B2D-3AF780F59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954750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48828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449E50-C220-4B83-A160-3BE26D07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417989</xdr:colOff>
      <xdr:row>0</xdr:row>
      <xdr:rowOff>0</xdr:rowOff>
    </xdr:from>
    <xdr:to>
      <xdr:col>12</xdr:col>
      <xdr:colOff>371474</xdr:colOff>
      <xdr:row>37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BD910C-90FD-4A2B-9A81-5A72D484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989" y="0"/>
          <a:ext cx="7268685" cy="6819900"/>
        </a:xfrm>
        <a:prstGeom prst="rect">
          <a:avLst/>
        </a:prstGeom>
      </xdr:spPr>
    </xdr:pic>
    <xdr:clientData/>
  </xdr:twoCellAnchor>
  <xdr:twoCellAnchor editAs="oneCell">
    <xdr:from>
      <xdr:col>13</xdr:col>
      <xdr:colOff>487134</xdr:colOff>
      <xdr:row>0</xdr:row>
      <xdr:rowOff>0</xdr:rowOff>
    </xdr:from>
    <xdr:to>
      <xdr:col>25</xdr:col>
      <xdr:colOff>457199</xdr:colOff>
      <xdr:row>44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C8B2D-C3C9-4A99-84DF-E6E66EC1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1934" y="0"/>
          <a:ext cx="7285265" cy="822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14</xdr:col>
      <xdr:colOff>482615</xdr:colOff>
      <xdr:row>36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2E3DA0-C368-499A-A7CD-7018032A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0"/>
          <a:ext cx="8026415" cy="702945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0</xdr:row>
      <xdr:rowOff>167660</xdr:rowOff>
    </xdr:from>
    <xdr:to>
      <xdr:col>34</xdr:col>
      <xdr:colOff>0</xdr:colOff>
      <xdr:row>47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6DA037-FC30-4FED-839E-882B6FD5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167660"/>
          <a:ext cx="10839450" cy="89001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112314</xdr:rowOff>
    </xdr:from>
    <xdr:to>
      <xdr:col>20</xdr:col>
      <xdr:colOff>342900</xdr:colOff>
      <xdr:row>48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1B2C0-D133-4F37-AD70-A199D40F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5" y="112314"/>
          <a:ext cx="9915525" cy="92031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2"/>
  <sheetViews>
    <sheetView tabSelected="1" topLeftCell="A41" zoomScale="90" zoomScaleNormal="90" workbookViewId="0">
      <selection activeCell="E59" sqref="E59"/>
    </sheetView>
  </sheetViews>
  <sheetFormatPr defaultRowHeight="15" x14ac:dyDescent="0.25"/>
  <cols>
    <col min="1" max="1" width="4.28515625" customWidth="1"/>
    <col min="2" max="2" width="11.140625" bestFit="1" customWidth="1"/>
    <col min="3" max="3" width="31" customWidth="1"/>
    <col min="4" max="4" width="18.140625" customWidth="1"/>
    <col min="5" max="5" width="21.85546875" customWidth="1"/>
    <col min="6" max="6" width="23" customWidth="1"/>
    <col min="7" max="7" width="17.28515625" customWidth="1"/>
    <col min="8" max="8" width="13" style="13" customWidth="1"/>
    <col min="9" max="9" width="17.140625" customWidth="1"/>
    <col min="10" max="10" width="17.28515625" customWidth="1"/>
    <col min="11" max="12" width="9.140625" hidden="1" customWidth="1"/>
    <col min="13" max="13" width="2.28515625" customWidth="1"/>
    <col min="14" max="14" width="5" customWidth="1"/>
    <col min="15" max="15" width="15" customWidth="1"/>
    <col min="16" max="16" width="15.28515625" bestFit="1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42" t="s">
        <v>30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3" customFormat="1" x14ac:dyDescent="0.25">
      <c r="A3" s="20">
        <f t="shared" ref="A3:A16" si="0">N3</f>
        <v>0</v>
      </c>
      <c r="B3" s="20">
        <f t="shared" ref="B3:B16" si="1">Q3</f>
        <v>305.5555555555556</v>
      </c>
      <c r="C3" s="20">
        <f>B3*1.2</f>
        <v>366.66666666666669</v>
      </c>
      <c r="D3" s="20">
        <f t="shared" ref="D3:D16" si="2">C3*1.2</f>
        <v>440</v>
      </c>
      <c r="E3" s="21">
        <f t="shared" ref="E3:E16" si="3">R3</f>
        <v>13000000</v>
      </c>
      <c r="F3" s="20">
        <f t="shared" ref="F3:F15" si="4">ROUND((E3/B3),0)</f>
        <v>42545</v>
      </c>
      <c r="G3" s="20">
        <f t="shared" ref="G3:G16" si="5">ROUND((E3/C3),0)</f>
        <v>35455</v>
      </c>
      <c r="H3" s="22">
        <f t="shared" ref="H3:H16" si="6">ROUND((E3/D3),0)</f>
        <v>29545</v>
      </c>
      <c r="I3" s="20" t="e">
        <f>#REF!</f>
        <v>#REF!</v>
      </c>
      <c r="J3" s="4">
        <f t="shared" ref="J3:J10" si="7">S3</f>
        <v>0</v>
      </c>
      <c r="K3"/>
      <c r="L3"/>
      <c r="M3"/>
      <c r="N3"/>
      <c r="O3">
        <v>440</v>
      </c>
      <c r="P3">
        <f t="shared" ref="P3:P10" si="8">O3/1.2</f>
        <v>366.66666666666669</v>
      </c>
      <c r="Q3" s="13">
        <f t="shared" ref="Q3:Q10" si="9">P3/1.2</f>
        <v>305.5555555555556</v>
      </c>
      <c r="R3" s="2">
        <v>13000000</v>
      </c>
    </row>
    <row r="4" spans="1:19" s="23" customFormat="1" x14ac:dyDescent="0.25">
      <c r="A4" s="20">
        <f t="shared" si="0"/>
        <v>0</v>
      </c>
      <c r="B4" s="20">
        <f t="shared" si="1"/>
        <v>415</v>
      </c>
      <c r="C4" s="20">
        <f t="shared" ref="C4:C16" si="10">B4*1.2</f>
        <v>498</v>
      </c>
      <c r="D4" s="20">
        <f t="shared" si="2"/>
        <v>597.6</v>
      </c>
      <c r="E4" s="21">
        <f t="shared" si="3"/>
        <v>19900000</v>
      </c>
      <c r="F4" s="20">
        <f t="shared" si="4"/>
        <v>47952</v>
      </c>
      <c r="G4" s="20">
        <f t="shared" si="5"/>
        <v>39960</v>
      </c>
      <c r="H4" s="22">
        <f t="shared" si="6"/>
        <v>33300</v>
      </c>
      <c r="I4" s="20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v>498</v>
      </c>
      <c r="Q4" s="13">
        <f t="shared" si="9"/>
        <v>415</v>
      </c>
      <c r="R4" s="2">
        <v>19900000</v>
      </c>
    </row>
    <row r="5" spans="1:19" s="23" customFormat="1" x14ac:dyDescent="0.25">
      <c r="A5" s="20">
        <f t="shared" si="0"/>
        <v>0</v>
      </c>
      <c r="B5" s="20">
        <f t="shared" si="1"/>
        <v>455</v>
      </c>
      <c r="C5" s="20">
        <f t="shared" si="10"/>
        <v>546</v>
      </c>
      <c r="D5" s="20">
        <f t="shared" si="2"/>
        <v>655.19999999999993</v>
      </c>
      <c r="E5" s="21">
        <f t="shared" si="3"/>
        <v>14500000</v>
      </c>
      <c r="F5" s="20">
        <f t="shared" si="4"/>
        <v>31868</v>
      </c>
      <c r="G5" s="20">
        <f t="shared" si="5"/>
        <v>26557</v>
      </c>
      <c r="H5" s="22">
        <f t="shared" si="6"/>
        <v>22131</v>
      </c>
      <c r="I5" s="20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455</v>
      </c>
      <c r="R5" s="2">
        <v>14500000</v>
      </c>
    </row>
    <row r="6" spans="1:19" s="23" customFormat="1" x14ac:dyDescent="0.25">
      <c r="A6" s="20">
        <f t="shared" si="0"/>
        <v>0</v>
      </c>
      <c r="B6" s="20">
        <f t="shared" si="1"/>
        <v>554</v>
      </c>
      <c r="C6" s="20">
        <f t="shared" si="10"/>
        <v>664.8</v>
      </c>
      <c r="D6" s="20">
        <f t="shared" si="2"/>
        <v>797.75999999999988</v>
      </c>
      <c r="E6" s="21">
        <f t="shared" si="3"/>
        <v>18200000</v>
      </c>
      <c r="F6" s="51">
        <f t="shared" si="4"/>
        <v>32852</v>
      </c>
      <c r="G6" s="20">
        <f t="shared" si="5"/>
        <v>27377</v>
      </c>
      <c r="H6" s="22">
        <f t="shared" si="6"/>
        <v>22814</v>
      </c>
      <c r="I6" s="20" t="e">
        <f>#REF!</f>
        <v>#REF!</v>
      </c>
      <c r="J6" s="4">
        <f t="shared" si="7"/>
        <v>0</v>
      </c>
      <c r="K6"/>
      <c r="L6"/>
      <c r="M6"/>
      <c r="N6"/>
      <c r="O6">
        <v>0</v>
      </c>
      <c r="P6">
        <f t="shared" si="8"/>
        <v>0</v>
      </c>
      <c r="Q6" s="13">
        <v>554</v>
      </c>
      <c r="R6" s="2">
        <v>18200000</v>
      </c>
    </row>
    <row r="7" spans="1:19" s="23" customFormat="1" x14ac:dyDescent="0.25">
      <c r="A7" s="20">
        <f t="shared" si="0"/>
        <v>0</v>
      </c>
      <c r="B7" s="20">
        <f t="shared" si="1"/>
        <v>996</v>
      </c>
      <c r="C7" s="20">
        <f t="shared" si="10"/>
        <v>1195.2</v>
      </c>
      <c r="D7" s="20">
        <f t="shared" si="2"/>
        <v>1434.24</v>
      </c>
      <c r="E7" s="21">
        <f t="shared" si="3"/>
        <v>39900000</v>
      </c>
      <c r="F7" s="51">
        <f>ROUND((E7/B7),0)</f>
        <v>40060</v>
      </c>
      <c r="G7" s="20">
        <f t="shared" si="5"/>
        <v>33384</v>
      </c>
      <c r="H7" s="22">
        <f t="shared" si="6"/>
        <v>27820</v>
      </c>
      <c r="I7" s="20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996</v>
      </c>
      <c r="R7" s="2">
        <v>39900000</v>
      </c>
    </row>
    <row r="8" spans="1:19" s="23" customFormat="1" x14ac:dyDescent="0.25">
      <c r="A8" s="20">
        <f t="shared" ref="A8:A11" si="11">N8</f>
        <v>0</v>
      </c>
      <c r="B8" s="20">
        <f t="shared" ref="B8:B11" si="12">Q8</f>
        <v>2850</v>
      </c>
      <c r="C8" s="20">
        <f t="shared" ref="C8:C11" si="13">B8*1.2</f>
        <v>3420</v>
      </c>
      <c r="D8" s="20">
        <f t="shared" ref="D8:D11" si="14">C8*1.2</f>
        <v>4104</v>
      </c>
      <c r="E8" s="21">
        <f t="shared" ref="E8:E11" si="15">R8</f>
        <v>115000000</v>
      </c>
      <c r="F8" s="51">
        <f t="shared" ref="F8:F11" si="16">ROUND((E8/B8),0)</f>
        <v>40351</v>
      </c>
      <c r="G8" s="20">
        <f t="shared" ref="G8:G11" si="17">ROUND((E8/C8),0)</f>
        <v>33626</v>
      </c>
      <c r="H8" s="22">
        <f t="shared" ref="H8:H11" si="18">ROUND((E8/D8),0)</f>
        <v>28021</v>
      </c>
      <c r="I8" s="20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2850</v>
      </c>
      <c r="R8" s="2">
        <v>115000000</v>
      </c>
    </row>
    <row r="9" spans="1:19" s="23" customFormat="1" x14ac:dyDescent="0.25">
      <c r="A9" s="20">
        <f t="shared" si="11"/>
        <v>0</v>
      </c>
      <c r="B9" s="20">
        <f t="shared" si="12"/>
        <v>775</v>
      </c>
      <c r="C9" s="20">
        <f t="shared" si="13"/>
        <v>930</v>
      </c>
      <c r="D9" s="20">
        <f t="shared" si="14"/>
        <v>1116</v>
      </c>
      <c r="E9" s="21">
        <f t="shared" si="15"/>
        <v>34000000</v>
      </c>
      <c r="F9" s="20">
        <f t="shared" si="16"/>
        <v>43871</v>
      </c>
      <c r="G9" s="20">
        <f t="shared" si="17"/>
        <v>36559</v>
      </c>
      <c r="H9" s="22">
        <f t="shared" si="18"/>
        <v>30466</v>
      </c>
      <c r="I9" s="20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f t="shared" si="8"/>
        <v>0</v>
      </c>
      <c r="Q9" s="13">
        <v>775</v>
      </c>
      <c r="R9" s="2">
        <v>34000000</v>
      </c>
    </row>
    <row r="10" spans="1:19" s="23" customFormat="1" x14ac:dyDescent="0.25">
      <c r="A10" s="20"/>
      <c r="B10" s="20">
        <f t="shared" ref="B10" si="19">Q10</f>
        <v>0</v>
      </c>
      <c r="C10" s="20">
        <f t="shared" ref="C10" si="20">B10*1.2</f>
        <v>0</v>
      </c>
      <c r="D10" s="20">
        <f t="shared" ref="D10" si="21">C10*1.2</f>
        <v>0</v>
      </c>
      <c r="E10" s="21">
        <f t="shared" ref="E10" si="22">R10</f>
        <v>0</v>
      </c>
      <c r="F10" s="20" t="e">
        <f t="shared" ref="F10" si="23">ROUND((E10/B10),0)</f>
        <v>#DIV/0!</v>
      </c>
      <c r="G10" s="20" t="e">
        <f t="shared" ref="G10" si="24">ROUND((E10/C10),0)</f>
        <v>#DIV/0!</v>
      </c>
      <c r="H10" s="22" t="e">
        <f t="shared" ref="H10" si="25">ROUND((E10/D10),0)</f>
        <v>#DIV/0!</v>
      </c>
      <c r="I10" s="20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f t="shared" si="9"/>
        <v>0</v>
      </c>
      <c r="R10" s="2">
        <v>0</v>
      </c>
    </row>
    <row r="11" spans="1:19" s="23" customFormat="1" x14ac:dyDescent="0.25">
      <c r="A11" s="20">
        <f t="shared" si="11"/>
        <v>0</v>
      </c>
      <c r="B11" s="20">
        <f t="shared" si="12"/>
        <v>0</v>
      </c>
      <c r="C11" s="20">
        <f t="shared" si="13"/>
        <v>0</v>
      </c>
      <c r="D11" s="20">
        <f t="shared" si="14"/>
        <v>0</v>
      </c>
      <c r="E11" s="21">
        <f t="shared" si="15"/>
        <v>0</v>
      </c>
      <c r="F11" s="20" t="e">
        <f t="shared" si="16"/>
        <v>#DIV/0!</v>
      </c>
      <c r="G11" s="20" t="e">
        <f t="shared" si="17"/>
        <v>#DIV/0!</v>
      </c>
      <c r="H11" s="22" t="e">
        <f t="shared" si="18"/>
        <v>#DIV/0!</v>
      </c>
      <c r="I11" s="20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3" customFormat="1" ht="18.75" x14ac:dyDescent="0.3">
      <c r="A12" s="20"/>
      <c r="B12" s="20"/>
      <c r="C12" s="20"/>
      <c r="D12" s="20"/>
      <c r="E12" s="21"/>
      <c r="F12" s="20"/>
      <c r="G12" s="42" t="s">
        <v>29</v>
      </c>
      <c r="H12" s="22"/>
      <c r="I12" s="20"/>
      <c r="J12" s="20"/>
      <c r="Q12" s="24"/>
      <c r="R12" s="25"/>
    </row>
    <row r="13" spans="1:19" s="23" customFormat="1" x14ac:dyDescent="0.25">
      <c r="A13" s="20">
        <f t="shared" si="0"/>
        <v>0</v>
      </c>
      <c r="B13" s="20">
        <f t="shared" si="1"/>
        <v>354.04590000000002</v>
      </c>
      <c r="C13" s="20">
        <f>B13*1.2</f>
        <v>424.85507999999999</v>
      </c>
      <c r="D13" s="20">
        <f t="shared" si="2"/>
        <v>509.82609599999995</v>
      </c>
      <c r="E13" s="21">
        <f t="shared" si="3"/>
        <v>10500000</v>
      </c>
      <c r="F13" s="51">
        <f t="shared" si="4"/>
        <v>29657</v>
      </c>
      <c r="G13" s="20">
        <f t="shared" si="5"/>
        <v>24714</v>
      </c>
      <c r="H13" s="22">
        <f t="shared" si="6"/>
        <v>20595</v>
      </c>
      <c r="I13" s="20" t="e">
        <f>#REF!</f>
        <v>#REF!</v>
      </c>
      <c r="J13" s="4">
        <f t="shared" ref="J13:J21" si="29">S13</f>
        <v>0</v>
      </c>
      <c r="K13"/>
      <c r="L13"/>
      <c r="M13"/>
      <c r="N13"/>
      <c r="O13">
        <v>0</v>
      </c>
      <c r="P13">
        <f>39.47*10.764</f>
        <v>424.85507999999999</v>
      </c>
      <c r="Q13" s="13">
        <f t="shared" ref="Q13:Q21" si="30">P13/1.2</f>
        <v>354.04590000000002</v>
      </c>
      <c r="R13" s="2">
        <v>10500000</v>
      </c>
    </row>
    <row r="14" spans="1:19" s="23" customFormat="1" x14ac:dyDescent="0.25">
      <c r="A14" s="20">
        <f t="shared" si="0"/>
        <v>0</v>
      </c>
      <c r="B14" s="20">
        <f t="shared" si="1"/>
        <v>354</v>
      </c>
      <c r="C14" s="20">
        <f t="shared" si="10"/>
        <v>424.8</v>
      </c>
      <c r="D14" s="20">
        <f t="shared" si="2"/>
        <v>509.76</v>
      </c>
      <c r="E14" s="21">
        <f t="shared" si="3"/>
        <v>9216000</v>
      </c>
      <c r="F14" s="51">
        <f t="shared" si="4"/>
        <v>26034</v>
      </c>
      <c r="G14" s="20">
        <f t="shared" si="5"/>
        <v>21695</v>
      </c>
      <c r="H14" s="22">
        <f t="shared" si="6"/>
        <v>18079</v>
      </c>
      <c r="I14" s="20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f t="shared" ref="P14:P21" si="31">O14/1.2</f>
        <v>0</v>
      </c>
      <c r="Q14" s="13">
        <v>354</v>
      </c>
      <c r="R14" s="2">
        <v>9216000</v>
      </c>
    </row>
    <row r="15" spans="1:19" s="23" customFormat="1" x14ac:dyDescent="0.25">
      <c r="A15" s="20">
        <f t="shared" si="0"/>
        <v>0</v>
      </c>
      <c r="B15" s="20">
        <f t="shared" si="1"/>
        <v>465.09449999999998</v>
      </c>
      <c r="C15" s="20">
        <f t="shared" si="10"/>
        <v>558.11339999999996</v>
      </c>
      <c r="D15" s="20">
        <f t="shared" si="2"/>
        <v>669.7360799999999</v>
      </c>
      <c r="E15" s="21">
        <f t="shared" si="3"/>
        <v>12000000</v>
      </c>
      <c r="F15" s="20">
        <f t="shared" si="4"/>
        <v>25801</v>
      </c>
      <c r="G15" s="20">
        <f t="shared" si="5"/>
        <v>21501</v>
      </c>
      <c r="H15" s="22">
        <f t="shared" si="6"/>
        <v>17918</v>
      </c>
      <c r="I15" s="20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f>51.85*10.764</f>
        <v>558.11339999999996</v>
      </c>
      <c r="Q15" s="13">
        <f t="shared" si="30"/>
        <v>465.09449999999998</v>
      </c>
      <c r="R15" s="2">
        <v>12000000</v>
      </c>
    </row>
    <row r="16" spans="1:19" s="23" customFormat="1" x14ac:dyDescent="0.25">
      <c r="A16" s="20">
        <f t="shared" si="0"/>
        <v>0</v>
      </c>
      <c r="B16" s="20">
        <f t="shared" si="1"/>
        <v>848.29289999999992</v>
      </c>
      <c r="C16" s="20">
        <f t="shared" si="10"/>
        <v>1017.9514799999998</v>
      </c>
      <c r="D16" s="20">
        <f t="shared" si="2"/>
        <v>1221.5417759999998</v>
      </c>
      <c r="E16" s="21">
        <f t="shared" si="3"/>
        <v>24030000</v>
      </c>
      <c r="F16" s="51">
        <f>ROUND((E16/B16),0)</f>
        <v>28327</v>
      </c>
      <c r="G16" s="20">
        <f t="shared" si="5"/>
        <v>23606</v>
      </c>
      <c r="H16" s="22">
        <f t="shared" si="6"/>
        <v>19672</v>
      </c>
      <c r="I16" s="20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>94.57*10.764</f>
        <v>1017.9514799999998</v>
      </c>
      <c r="Q16" s="13">
        <f t="shared" si="30"/>
        <v>848.29289999999992</v>
      </c>
      <c r="R16" s="2">
        <v>24030000</v>
      </c>
    </row>
    <row r="17" spans="1:26" x14ac:dyDescent="0.25">
      <c r="A17" s="4">
        <f t="shared" ref="A17:A18" si="32">N17</f>
        <v>0</v>
      </c>
      <c r="B17" s="4">
        <f t="shared" ref="B17:B18" si="33">Q17</f>
        <v>659.20529999999997</v>
      </c>
      <c r="C17" s="4">
        <f t="shared" ref="C17:C18" si="34">B17*1.2</f>
        <v>791.04635999999994</v>
      </c>
      <c r="D17" s="4">
        <f t="shared" ref="D17:D18" si="35">C17*1.2</f>
        <v>949.25563199999988</v>
      </c>
      <c r="E17" s="5">
        <f t="shared" ref="E17:E18" si="36">R17</f>
        <v>31500000</v>
      </c>
      <c r="F17" s="8">
        <f t="shared" ref="F17:F18" si="37">ROUND((E17/B17),0)</f>
        <v>47785</v>
      </c>
      <c r="G17" s="8">
        <f t="shared" ref="G17:G18" si="38">ROUND((E17/C17),0)</f>
        <v>39821</v>
      </c>
      <c r="H17" s="12">
        <f t="shared" ref="H17:H18" si="39">ROUND((E17/D17),0)</f>
        <v>33184</v>
      </c>
      <c r="I17" s="4" t="e">
        <f>#REF!</f>
        <v>#REF!</v>
      </c>
      <c r="J17" s="4">
        <f t="shared" si="29"/>
        <v>0</v>
      </c>
      <c r="O17">
        <v>0</v>
      </c>
      <c r="P17">
        <f>73.49*10.764</f>
        <v>791.04635999999994</v>
      </c>
      <c r="Q17" s="13">
        <f t="shared" si="30"/>
        <v>659.20529999999997</v>
      </c>
      <c r="R17" s="2">
        <v>31500000</v>
      </c>
      <c r="S17" s="15"/>
      <c r="T17" s="15"/>
    </row>
    <row r="18" spans="1:26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8" t="e">
        <f t="shared" si="37"/>
        <v>#DIV/0!</v>
      </c>
      <c r="G18" s="8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1"/>
        <v>0</v>
      </c>
      <c r="Q18" s="13">
        <f t="shared" si="30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1"/>
        <v>0</v>
      </c>
      <c r="Q19" s="13">
        <f t="shared" si="30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1"/>
        <v>0</v>
      </c>
      <c r="Q20" s="13">
        <f t="shared" si="30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1"/>
        <v>0</v>
      </c>
      <c r="Q21" s="13">
        <f t="shared" si="30"/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48">S22</f>
        <v>0</v>
      </c>
      <c r="O22">
        <v>0</v>
      </c>
      <c r="P22">
        <f t="shared" ref="P22" si="49">O22/1.2</f>
        <v>0</v>
      </c>
      <c r="Q22" s="13">
        <f t="shared" ref="Q22" si="50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/>
    </row>
    <row r="25" spans="1:26" ht="16.5" x14ac:dyDescent="0.3">
      <c r="C25" s="26" t="s">
        <v>14</v>
      </c>
      <c r="D25" s="18"/>
      <c r="E25" s="37"/>
      <c r="F25" s="43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6" t="s">
        <v>15</v>
      </c>
      <c r="D26" s="18">
        <v>2024</v>
      </c>
      <c r="E26" s="37"/>
      <c r="F26" s="64" t="s">
        <v>31</v>
      </c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"/>
      <c r="T26" s="6"/>
      <c r="U26" s="6"/>
    </row>
    <row r="27" spans="1:26" ht="16.5" x14ac:dyDescent="0.3">
      <c r="C27" s="27" t="s">
        <v>16</v>
      </c>
      <c r="D27" s="50">
        <v>2012</v>
      </c>
      <c r="E27" s="37" t="s">
        <v>50</v>
      </c>
      <c r="F27" s="64" t="s">
        <v>35</v>
      </c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9" t="s">
        <v>17</v>
      </c>
      <c r="D28" s="28">
        <f>D26-D27</f>
        <v>12</v>
      </c>
      <c r="E28" s="37"/>
      <c r="G28" s="13"/>
      <c r="Q28"/>
      <c r="R28" s="9"/>
      <c r="S28" s="9">
        <f>F14*1.1</f>
        <v>28637.4</v>
      </c>
      <c r="T28" s="9"/>
      <c r="U28" s="9"/>
      <c r="W28" s="9"/>
      <c r="X28" s="9"/>
      <c r="Y28" s="9"/>
      <c r="Z28" s="9"/>
    </row>
    <row r="29" spans="1:26" ht="16.5" x14ac:dyDescent="0.3">
      <c r="C29" s="30"/>
      <c r="D29" s="28">
        <f>D28-60</f>
        <v>-48</v>
      </c>
      <c r="E29" s="37"/>
      <c r="F29" s="48"/>
      <c r="G29" s="49"/>
      <c r="I29" s="13"/>
      <c r="J29" s="13"/>
      <c r="K29" s="13"/>
      <c r="L29" s="13"/>
      <c r="M29" s="13"/>
      <c r="N29" s="13"/>
      <c r="O29" s="13"/>
      <c r="P29" s="13"/>
      <c r="R29" s="13"/>
      <c r="S29" s="13"/>
      <c r="T29" s="13"/>
      <c r="U29" s="13"/>
      <c r="W29" s="9"/>
      <c r="X29" s="9"/>
      <c r="Y29" s="9"/>
      <c r="Z29" s="9"/>
    </row>
    <row r="30" spans="1:26" ht="16.5" x14ac:dyDescent="0.3">
      <c r="C30" s="30" t="s">
        <v>18</v>
      </c>
      <c r="D30" s="31">
        <f>540*2800</f>
        <v>1512000</v>
      </c>
      <c r="E30" s="38"/>
      <c r="F30" t="s">
        <v>41</v>
      </c>
      <c r="O30">
        <f>22000*1.5</f>
        <v>33000</v>
      </c>
      <c r="W30" s="9"/>
      <c r="X30" s="9"/>
      <c r="Y30" s="9"/>
      <c r="Z30" s="9"/>
    </row>
    <row r="31" spans="1:26" ht="27.75" customHeight="1" x14ac:dyDescent="0.3">
      <c r="C31" s="30" t="s">
        <v>19</v>
      </c>
      <c r="D31" s="28"/>
      <c r="E31" s="37"/>
      <c r="F31" s="16"/>
      <c r="W31" s="13"/>
      <c r="X31" s="9"/>
      <c r="Y31" s="9"/>
      <c r="Z31" s="9"/>
    </row>
    <row r="32" spans="1:26" ht="16.5" x14ac:dyDescent="0.3">
      <c r="C32" s="30" t="s">
        <v>20</v>
      </c>
      <c r="D32" s="32">
        <f>100-10</f>
        <v>90</v>
      </c>
      <c r="E32" s="37"/>
      <c r="F32" s="47"/>
      <c r="G32" s="44"/>
      <c r="H32"/>
      <c r="S32" s="9"/>
      <c r="T32" s="9"/>
      <c r="U32" s="9"/>
      <c r="V32" s="9"/>
      <c r="W32" s="9"/>
      <c r="X32" s="9"/>
      <c r="Y32" s="9"/>
      <c r="Z32" s="9"/>
    </row>
    <row r="33" spans="3:26" ht="18.75" x14ac:dyDescent="0.3">
      <c r="C33" s="26" t="s">
        <v>28</v>
      </c>
      <c r="D33" s="28">
        <f>(100-10)*D28/60</f>
        <v>18</v>
      </c>
      <c r="E33" s="37"/>
      <c r="F33" s="55" t="s">
        <v>36</v>
      </c>
      <c r="G33" s="54"/>
      <c r="I33" s="58" t="s">
        <v>44</v>
      </c>
      <c r="J33" s="58"/>
      <c r="O33" s="58" t="s">
        <v>43</v>
      </c>
      <c r="P33" s="58"/>
      <c r="S33" s="9"/>
      <c r="T33" s="9"/>
      <c r="U33" s="9"/>
      <c r="V33" s="9"/>
      <c r="W33" s="9"/>
      <c r="X33" s="9"/>
      <c r="Y33" s="9"/>
      <c r="Z33" s="9"/>
    </row>
    <row r="34" spans="3:26" ht="16.5" x14ac:dyDescent="0.3">
      <c r="C34" s="26"/>
      <c r="D34" s="33">
        <f>D33%</f>
        <v>0.18</v>
      </c>
      <c r="E34" s="37"/>
      <c r="F34" t="s">
        <v>32</v>
      </c>
      <c r="G34" s="56">
        <f>50.18*10.764</f>
        <v>540.13751999999999</v>
      </c>
      <c r="H34" s="13" t="s">
        <v>37</v>
      </c>
      <c r="I34" s="57">
        <v>15322500</v>
      </c>
      <c r="J34" t="s">
        <v>38</v>
      </c>
      <c r="S34" s="9"/>
      <c r="T34" s="9"/>
      <c r="U34" s="9"/>
      <c r="V34" s="9"/>
      <c r="W34" s="9"/>
      <c r="X34" s="9"/>
      <c r="Y34" s="9"/>
      <c r="Z34" s="9"/>
    </row>
    <row r="35" spans="3:26" ht="16.5" x14ac:dyDescent="0.3">
      <c r="C35" s="26" t="s">
        <v>21</v>
      </c>
      <c r="D35" s="19">
        <f>ROUND((D30*D34),0)</f>
        <v>272160</v>
      </c>
      <c r="E35" s="39"/>
      <c r="F35" t="s">
        <v>33</v>
      </c>
      <c r="G35" s="56">
        <v>534</v>
      </c>
      <c r="H35" s="13" t="s">
        <v>37</v>
      </c>
      <c r="I35" s="57">
        <v>15147850</v>
      </c>
      <c r="J35" t="s">
        <v>38</v>
      </c>
      <c r="O35" s="57">
        <v>9390492</v>
      </c>
      <c r="P35" t="s">
        <v>42</v>
      </c>
      <c r="S35" s="9"/>
      <c r="T35" s="9"/>
      <c r="U35" s="9"/>
      <c r="V35" s="9"/>
      <c r="W35" s="9"/>
      <c r="X35" s="9"/>
      <c r="Y35" s="9"/>
      <c r="Z35" s="9"/>
    </row>
    <row r="36" spans="3:26" ht="16.5" x14ac:dyDescent="0.3">
      <c r="C36" s="52" t="s">
        <v>47</v>
      </c>
      <c r="D36" s="53">
        <v>450</v>
      </c>
      <c r="E36" s="45"/>
      <c r="F36" t="s">
        <v>34</v>
      </c>
      <c r="G36" s="56">
        <v>594</v>
      </c>
      <c r="H36" s="13" t="s">
        <v>37</v>
      </c>
      <c r="I36" s="57">
        <v>16850350</v>
      </c>
      <c r="J36" t="s">
        <v>38</v>
      </c>
      <c r="O36" s="57">
        <v>10446000</v>
      </c>
      <c r="P36" t="s">
        <v>45</v>
      </c>
      <c r="S36" s="9"/>
      <c r="T36" s="9"/>
      <c r="U36" s="9"/>
      <c r="V36" s="9"/>
      <c r="W36" s="9"/>
      <c r="X36" s="9"/>
      <c r="Y36" s="9"/>
      <c r="Z36" s="9"/>
    </row>
    <row r="37" spans="3:26" ht="16.5" x14ac:dyDescent="0.3">
      <c r="C37" s="30" t="s">
        <v>22</v>
      </c>
      <c r="D37" s="19">
        <v>37500</v>
      </c>
      <c r="E37" s="45"/>
      <c r="F37" s="44"/>
      <c r="G37" s="56"/>
      <c r="I37" s="13"/>
      <c r="S37" s="9"/>
      <c r="T37" s="9"/>
      <c r="U37" s="9"/>
      <c r="V37" s="9"/>
      <c r="W37" s="9"/>
      <c r="X37" s="9"/>
      <c r="Y37" s="9"/>
      <c r="Z37" s="9"/>
    </row>
    <row r="38" spans="3:26" ht="16.5" x14ac:dyDescent="0.3">
      <c r="C38" s="30" t="s">
        <v>23</v>
      </c>
      <c r="D38" s="19">
        <f>D37*D36</f>
        <v>16875000</v>
      </c>
      <c r="E38" s="46"/>
      <c r="F38" s="44"/>
      <c r="G38" s="56"/>
      <c r="S38" s="9"/>
      <c r="T38" s="9"/>
      <c r="U38" s="9"/>
      <c r="V38" s="9"/>
      <c r="W38" s="9"/>
      <c r="X38" s="9"/>
      <c r="Y38" s="9"/>
      <c r="Z38" s="9"/>
    </row>
    <row r="39" spans="3:26" ht="16.5" x14ac:dyDescent="0.3">
      <c r="C39" s="34" t="s">
        <v>24</v>
      </c>
      <c r="D39" s="35">
        <f>D38-D35</f>
        <v>16602840</v>
      </c>
      <c r="E39" s="44">
        <f>D39/540</f>
        <v>30746</v>
      </c>
      <c r="G39" s="56"/>
      <c r="H39" s="14"/>
      <c r="I39" s="6"/>
      <c r="J39" s="6"/>
      <c r="K39" s="6"/>
      <c r="L39" s="6"/>
      <c r="M39" s="6"/>
      <c r="N39" s="6"/>
      <c r="O39" s="6"/>
      <c r="P39" s="6"/>
      <c r="S39" s="9"/>
      <c r="T39" s="9"/>
      <c r="U39" s="9"/>
      <c r="V39" s="9"/>
      <c r="W39" s="9"/>
      <c r="X39" s="9"/>
      <c r="Y39" s="9"/>
      <c r="Z39" s="9"/>
    </row>
    <row r="40" spans="3:26" ht="18.75" x14ac:dyDescent="0.3">
      <c r="C40" s="34" t="s">
        <v>25</v>
      </c>
      <c r="D40" s="35">
        <f>D39*0.9</f>
        <v>14942556</v>
      </c>
      <c r="F40" s="55" t="s">
        <v>39</v>
      </c>
      <c r="G40" s="54"/>
      <c r="S40" s="9"/>
      <c r="T40" s="9"/>
      <c r="U40" s="9"/>
      <c r="V40" s="9"/>
      <c r="W40" s="9"/>
      <c r="X40" s="9"/>
      <c r="Y40" s="9"/>
      <c r="Z40" s="9"/>
    </row>
    <row r="41" spans="3:26" ht="16.5" x14ac:dyDescent="0.3">
      <c r="C41" s="34" t="s">
        <v>26</v>
      </c>
      <c r="D41" s="35">
        <f>D39*0.8</f>
        <v>13282272</v>
      </c>
      <c r="F41" t="s">
        <v>32</v>
      </c>
      <c r="G41" s="56">
        <v>610.12</v>
      </c>
      <c r="H41" s="13" t="s">
        <v>37</v>
      </c>
      <c r="I41" t="s">
        <v>40</v>
      </c>
      <c r="S41" s="9"/>
      <c r="T41" s="9"/>
      <c r="U41" s="9"/>
      <c r="V41" s="9"/>
      <c r="W41" s="9"/>
      <c r="X41" s="9"/>
      <c r="Y41" s="9"/>
      <c r="Z41" s="9"/>
    </row>
    <row r="42" spans="3:26" ht="16.5" x14ac:dyDescent="0.3">
      <c r="C42" s="34" t="s">
        <v>27</v>
      </c>
      <c r="D42" s="36">
        <f>D39*0.03/12</f>
        <v>41507.1</v>
      </c>
      <c r="E42" s="45"/>
      <c r="F42" t="s">
        <v>33</v>
      </c>
      <c r="G42" s="56">
        <v>648</v>
      </c>
      <c r="H42" s="13" t="s">
        <v>37</v>
      </c>
      <c r="S42" s="9"/>
      <c r="T42" s="10"/>
      <c r="U42" s="9"/>
      <c r="V42" s="9"/>
      <c r="W42" s="9"/>
      <c r="X42" s="9"/>
      <c r="Y42" s="9"/>
      <c r="Z42" s="9"/>
    </row>
    <row r="43" spans="3:26" ht="16.5" x14ac:dyDescent="0.3">
      <c r="C43" s="40"/>
      <c r="D43" s="41"/>
      <c r="F43" t="s">
        <v>34</v>
      </c>
      <c r="G43" s="56">
        <v>668</v>
      </c>
      <c r="H43" s="13" t="s">
        <v>37</v>
      </c>
      <c r="S43" s="10"/>
      <c r="T43" s="9"/>
      <c r="U43" s="9"/>
      <c r="V43" s="9"/>
      <c r="W43" s="9"/>
      <c r="X43" s="9"/>
      <c r="Y43" s="9"/>
      <c r="Z43" s="9"/>
    </row>
    <row r="44" spans="3:26" ht="16.5" x14ac:dyDescent="0.3">
      <c r="C44" s="26" t="s">
        <v>14</v>
      </c>
      <c r="D44" s="18"/>
    </row>
    <row r="45" spans="3:26" ht="16.5" x14ac:dyDescent="0.3">
      <c r="C45" s="26" t="s">
        <v>15</v>
      </c>
      <c r="D45" s="18">
        <v>2024</v>
      </c>
    </row>
    <row r="46" spans="3:26" ht="16.5" x14ac:dyDescent="0.3">
      <c r="C46" s="27" t="s">
        <v>16</v>
      </c>
      <c r="D46" s="50">
        <v>2012</v>
      </c>
      <c r="E46" s="37" t="s">
        <v>50</v>
      </c>
    </row>
    <row r="47" spans="3:26" ht="18.75" x14ac:dyDescent="0.3">
      <c r="C47" s="29" t="s">
        <v>17</v>
      </c>
      <c r="D47" s="28">
        <f>D45-D46</f>
        <v>12</v>
      </c>
      <c r="F47" s="59" t="s">
        <v>46</v>
      </c>
      <c r="G47" s="60"/>
      <c r="H47" s="61"/>
      <c r="I47" s="62"/>
    </row>
    <row r="48" spans="3:26" ht="16.5" x14ac:dyDescent="0.3">
      <c r="C48" s="30"/>
      <c r="D48" s="28">
        <f>D47-60</f>
        <v>-48</v>
      </c>
      <c r="F48" s="62" t="s">
        <v>32</v>
      </c>
      <c r="G48" s="63">
        <v>450</v>
      </c>
      <c r="H48" s="61" t="s">
        <v>37</v>
      </c>
      <c r="I48" s="62">
        <f>G48*1.2</f>
        <v>540</v>
      </c>
    </row>
    <row r="49" spans="3:9" ht="16.5" x14ac:dyDescent="0.3">
      <c r="C49" s="30" t="s">
        <v>18</v>
      </c>
      <c r="D49" s="31">
        <f>534*2800</f>
        <v>1495200</v>
      </c>
      <c r="F49" s="62" t="s">
        <v>51</v>
      </c>
      <c r="G49" s="63">
        <v>445</v>
      </c>
      <c r="H49" s="61" t="s">
        <v>37</v>
      </c>
      <c r="I49" s="62">
        <f>G49*1.2</f>
        <v>534</v>
      </c>
    </row>
    <row r="50" spans="3:9" ht="16.5" x14ac:dyDescent="0.3">
      <c r="C50" s="30" t="s">
        <v>19</v>
      </c>
      <c r="D50" s="28"/>
      <c r="F50" s="62" t="s">
        <v>34</v>
      </c>
      <c r="G50" s="63">
        <v>495</v>
      </c>
      <c r="H50" s="61" t="s">
        <v>37</v>
      </c>
      <c r="I50" s="62"/>
    </row>
    <row r="51" spans="3:9" ht="16.5" x14ac:dyDescent="0.3">
      <c r="C51" s="30" t="s">
        <v>20</v>
      </c>
      <c r="D51" s="32">
        <f>100-10</f>
        <v>90</v>
      </c>
      <c r="F51" s="62"/>
      <c r="G51" s="62"/>
      <c r="H51" s="61"/>
      <c r="I51" s="62"/>
    </row>
    <row r="52" spans="3:9" ht="16.5" x14ac:dyDescent="0.3">
      <c r="C52" s="26" t="s">
        <v>28</v>
      </c>
      <c r="D52" s="28">
        <f>(100-10)*D47/60</f>
        <v>18</v>
      </c>
    </row>
    <row r="53" spans="3:9" ht="16.5" x14ac:dyDescent="0.3">
      <c r="C53" s="26"/>
      <c r="D53" s="33">
        <f>D52%</f>
        <v>0.18</v>
      </c>
    </row>
    <row r="54" spans="3:9" ht="16.5" x14ac:dyDescent="0.3">
      <c r="C54" s="26" t="s">
        <v>21</v>
      </c>
      <c r="D54" s="19">
        <f>ROUND((D49*D53),0)</f>
        <v>269136</v>
      </c>
    </row>
    <row r="55" spans="3:9" ht="16.5" x14ac:dyDescent="0.3">
      <c r="C55" s="52" t="s">
        <v>48</v>
      </c>
      <c r="D55" s="53">
        <v>445</v>
      </c>
      <c r="E55" s="44">
        <f>D55*1.2</f>
        <v>534</v>
      </c>
      <c r="I55" s="57"/>
    </row>
    <row r="56" spans="3:9" ht="16.5" x14ac:dyDescent="0.3">
      <c r="C56" s="30" t="s">
        <v>22</v>
      </c>
      <c r="D56" s="19">
        <v>37500</v>
      </c>
      <c r="I56" s="57"/>
    </row>
    <row r="57" spans="3:9" ht="16.5" x14ac:dyDescent="0.3">
      <c r="C57" s="30" t="s">
        <v>23</v>
      </c>
      <c r="D57" s="19">
        <f>D56*D55</f>
        <v>16687500</v>
      </c>
      <c r="I57" s="57"/>
    </row>
    <row r="58" spans="3:9" ht="16.5" x14ac:dyDescent="0.3">
      <c r="C58" s="34" t="s">
        <v>24</v>
      </c>
      <c r="D58" s="35">
        <f>D57-D54</f>
        <v>16418364</v>
      </c>
      <c r="E58">
        <f>D58/E55</f>
        <v>30746</v>
      </c>
    </row>
    <row r="59" spans="3:9" ht="16.5" x14ac:dyDescent="0.3">
      <c r="C59" s="34" t="s">
        <v>25</v>
      </c>
      <c r="D59" s="67">
        <f>D58*0.9</f>
        <v>14776527.6</v>
      </c>
    </row>
    <row r="60" spans="3:9" ht="16.5" x14ac:dyDescent="0.3">
      <c r="C60" s="34" t="s">
        <v>26</v>
      </c>
      <c r="D60" s="67">
        <f>D58*0.8</f>
        <v>13134691.200000001</v>
      </c>
    </row>
    <row r="61" spans="3:9" ht="16.5" x14ac:dyDescent="0.3">
      <c r="C61" s="34" t="s">
        <v>27</v>
      </c>
      <c r="D61" s="36">
        <f>D58*0.03/12</f>
        <v>41045.909999999996</v>
      </c>
    </row>
    <row r="63" spans="3:9" ht="16.5" x14ac:dyDescent="0.3">
      <c r="C63" s="26" t="s">
        <v>14</v>
      </c>
      <c r="D63" s="18"/>
    </row>
    <row r="64" spans="3:9" ht="16.5" x14ac:dyDescent="0.3">
      <c r="C64" s="26" t="s">
        <v>15</v>
      </c>
      <c r="D64" s="18">
        <v>2024</v>
      </c>
    </row>
    <row r="65" spans="3:5" ht="16.5" x14ac:dyDescent="0.3">
      <c r="C65" s="27" t="s">
        <v>16</v>
      </c>
      <c r="D65" s="50">
        <v>2012</v>
      </c>
      <c r="E65" s="37" t="s">
        <v>50</v>
      </c>
    </row>
    <row r="66" spans="3:5" ht="16.5" x14ac:dyDescent="0.3">
      <c r="C66" s="29" t="s">
        <v>17</v>
      </c>
      <c r="D66" s="28">
        <f>D64-D65</f>
        <v>12</v>
      </c>
      <c r="E66">
        <f>100-D66</f>
        <v>88</v>
      </c>
    </row>
    <row r="67" spans="3:5" ht="16.5" x14ac:dyDescent="0.3">
      <c r="C67" s="30"/>
      <c r="D67" s="28">
        <f>D66-60</f>
        <v>-48</v>
      </c>
    </row>
    <row r="68" spans="3:5" ht="16.5" x14ac:dyDescent="0.3">
      <c r="C68" s="30" t="s">
        <v>18</v>
      </c>
      <c r="D68" s="31">
        <f>540*2800</f>
        <v>1512000</v>
      </c>
    </row>
    <row r="69" spans="3:5" ht="16.5" x14ac:dyDescent="0.3">
      <c r="C69" s="30" t="s">
        <v>19</v>
      </c>
      <c r="D69" s="28"/>
    </row>
    <row r="70" spans="3:5" ht="16.5" x14ac:dyDescent="0.3">
      <c r="C70" s="30" t="s">
        <v>20</v>
      </c>
      <c r="D70" s="32">
        <f>100-10</f>
        <v>90</v>
      </c>
    </row>
    <row r="71" spans="3:5" ht="16.5" x14ac:dyDescent="0.3">
      <c r="C71" s="26" t="s">
        <v>28</v>
      </c>
      <c r="D71" s="28">
        <f>(100-10)*D66/60</f>
        <v>18</v>
      </c>
    </row>
    <row r="72" spans="3:5" ht="16.5" x14ac:dyDescent="0.3">
      <c r="C72" s="26"/>
      <c r="D72" s="33">
        <f>D71%</f>
        <v>0.18</v>
      </c>
    </row>
    <row r="73" spans="3:5" ht="16.5" x14ac:dyDescent="0.3">
      <c r="C73" s="26" t="s">
        <v>21</v>
      </c>
      <c r="D73" s="19">
        <f>ROUND((D68*D72),0)</f>
        <v>272160</v>
      </c>
    </row>
    <row r="74" spans="3:5" ht="16.5" x14ac:dyDescent="0.3">
      <c r="C74" s="52" t="s">
        <v>49</v>
      </c>
      <c r="D74" s="53">
        <v>495</v>
      </c>
    </row>
    <row r="75" spans="3:5" ht="16.5" x14ac:dyDescent="0.3">
      <c r="C75" s="30" t="s">
        <v>22</v>
      </c>
      <c r="D75" s="19">
        <v>37500</v>
      </c>
    </row>
    <row r="76" spans="3:5" ht="16.5" x14ac:dyDescent="0.3">
      <c r="C76" s="30" t="s">
        <v>23</v>
      </c>
      <c r="D76" s="19">
        <f>D75*D74</f>
        <v>18562500</v>
      </c>
    </row>
    <row r="77" spans="3:5" ht="16.5" x14ac:dyDescent="0.3">
      <c r="C77" s="34" t="s">
        <v>24</v>
      </c>
      <c r="D77" s="35">
        <f>D76-D73</f>
        <v>18290340</v>
      </c>
    </row>
    <row r="78" spans="3:5" ht="16.5" x14ac:dyDescent="0.3">
      <c r="C78" s="34" t="s">
        <v>25</v>
      </c>
      <c r="D78" s="35">
        <f>D77*0.9</f>
        <v>16461306</v>
      </c>
    </row>
    <row r="79" spans="3:5" ht="16.5" x14ac:dyDescent="0.3">
      <c r="C79" s="34" t="s">
        <v>26</v>
      </c>
      <c r="D79" s="35">
        <f>D77*0.8</f>
        <v>14632272</v>
      </c>
    </row>
    <row r="80" spans="3:5" ht="16.5" x14ac:dyDescent="0.3">
      <c r="C80" s="34" t="s">
        <v>27</v>
      </c>
      <c r="D80" s="36">
        <f>D77*0.025/12</f>
        <v>38104.875</v>
      </c>
    </row>
    <row r="81" spans="9:16" x14ac:dyDescent="0.25">
      <c r="I81" s="57">
        <v>248650</v>
      </c>
      <c r="J81" s="65"/>
      <c r="K81" s="57"/>
      <c r="L81" s="57"/>
      <c r="M81" s="57"/>
    </row>
    <row r="82" spans="9:16" x14ac:dyDescent="0.25">
      <c r="I82" s="65">
        <f>I81/100*105</f>
        <v>261082.5</v>
      </c>
      <c r="J82" s="65">
        <f>I82/10.764</f>
        <v>24255.156075808252</v>
      </c>
      <c r="K82" s="57"/>
      <c r="L82" s="57"/>
      <c r="M82" s="57"/>
      <c r="O82" s="66">
        <f>I82-I81</f>
        <v>12432.5</v>
      </c>
    </row>
    <row r="83" spans="9:16" x14ac:dyDescent="0.25">
      <c r="I83" s="57"/>
      <c r="J83" s="65"/>
      <c r="K83" s="57"/>
      <c r="L83" s="57"/>
      <c r="M83" s="57"/>
    </row>
    <row r="84" spans="9:16" x14ac:dyDescent="0.25">
      <c r="I84" s="57">
        <v>216220</v>
      </c>
      <c r="J84" s="65"/>
      <c r="K84" s="57"/>
      <c r="L84" s="57"/>
      <c r="M84" s="57"/>
    </row>
    <row r="85" spans="9:16" x14ac:dyDescent="0.25">
      <c r="I85" s="57"/>
      <c r="J85" s="65"/>
      <c r="K85" s="57"/>
      <c r="L85" s="57"/>
      <c r="M85" s="57"/>
    </row>
    <row r="86" spans="9:16" x14ac:dyDescent="0.25">
      <c r="I86" s="65">
        <f>I82-I84</f>
        <v>44862.5</v>
      </c>
      <c r="J86" s="65"/>
      <c r="K86" s="57"/>
      <c r="L86" s="57"/>
      <c r="M86" s="57"/>
    </row>
    <row r="87" spans="9:16" x14ac:dyDescent="0.25">
      <c r="I87" s="57">
        <f>I86*88%</f>
        <v>39479</v>
      </c>
      <c r="J87" s="65"/>
      <c r="K87" s="57"/>
      <c r="L87" s="57"/>
      <c r="M87" s="57"/>
    </row>
    <row r="88" spans="9:16" x14ac:dyDescent="0.25">
      <c r="I88" s="57"/>
      <c r="J88" s="65"/>
      <c r="K88" s="57"/>
      <c r="L88" s="57"/>
      <c r="M88" s="57"/>
    </row>
    <row r="89" spans="9:16" x14ac:dyDescent="0.25">
      <c r="I89" s="57">
        <f>I87+I84</f>
        <v>255699</v>
      </c>
      <c r="J89" s="65">
        <f>I89/10.764</f>
        <v>23755.016722408029</v>
      </c>
      <c r="K89" s="57"/>
      <c r="L89" s="57"/>
      <c r="M89" s="57"/>
      <c r="O89" s="57">
        <v>540</v>
      </c>
      <c r="P89" s="57">
        <v>534</v>
      </c>
    </row>
    <row r="90" spans="9:16" x14ac:dyDescent="0.25">
      <c r="O90" s="57">
        <v>23755</v>
      </c>
      <c r="P90" s="57">
        <v>23755</v>
      </c>
    </row>
    <row r="91" spans="9:16" x14ac:dyDescent="0.25">
      <c r="O91" s="57">
        <f>O90*O89</f>
        <v>12827700</v>
      </c>
      <c r="P91" s="57">
        <f>P90*P89</f>
        <v>12685170</v>
      </c>
    </row>
    <row r="92" spans="9:16" x14ac:dyDescent="0.25">
      <c r="O92" s="57"/>
      <c r="P92" s="57"/>
    </row>
  </sheetData>
  <mergeCells count="2">
    <mergeCell ref="F26:R26"/>
    <mergeCell ref="F27:R27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B1" zoomScaleNormal="100" workbookViewId="0">
      <selection activeCell="Q1" sqref="Q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/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N2" sqref="N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2024-09-10T09:54:23Z</dcterms:modified>
</cp:coreProperties>
</file>