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luation Work\Land &amp; Building Folder\Mahendra Exports\Parmes Diamond\"/>
    </mc:Choice>
  </mc:AlternateContent>
  <xr:revisionPtr revIDLastSave="0" documentId="13_ncr:1_{CA559CA4-844E-41F1-9AFC-BCB32DC1802D}" xr6:coauthVersionLast="47" xr6:coauthVersionMax="47" xr10:uidLastSave="{00000000-0000-0000-0000-000000000000}"/>
  <bookViews>
    <workbookView xWindow="-120" yWindow="-120" windowWidth="29040" windowHeight="15720" firstSheet="1" activeTab="11" xr2:uid="{00000000-000D-0000-FFFF-FFFF00000000}"/>
  </bookViews>
  <sheets>
    <sheet name="Calculation sheet" sheetId="2" r:id="rId1"/>
    <sheet name="Area" sheetId="6" r:id="rId2"/>
    <sheet name="Jantri Rate" sheetId="4" r:id="rId3"/>
    <sheet name="Rate Summary" sheetId="8" r:id="rId4"/>
    <sheet name="Sheet1" sheetId="9" r:id="rId5"/>
    <sheet name="Sheet2" sheetId="10" r:id="rId6"/>
    <sheet name="Sheet3" sheetId="11" r:id="rId7"/>
    <sheet name="Sheet4" sheetId="12" r:id="rId8"/>
    <sheet name="Sheet5" sheetId="13" r:id="rId9"/>
    <sheet name="Sheet6" sheetId="14" r:id="rId10"/>
    <sheet name="Sheet7" sheetId="15" r:id="rId11"/>
    <sheet name="Parmes Diamond" sheetId="16" r:id="rId12"/>
  </sheets>
  <definedNames>
    <definedName name="_xlnm.Database">#REF!</definedName>
  </definedNames>
  <calcPr calcId="191029"/>
</workbook>
</file>

<file path=xl/calcChain.xml><?xml version="1.0" encoding="utf-8"?>
<calcChain xmlns="http://schemas.openxmlformats.org/spreadsheetml/2006/main">
  <c r="C38" i="16" l="1"/>
  <c r="C45" i="16" s="1"/>
  <c r="C33" i="16"/>
  <c r="C44" i="16" s="1"/>
  <c r="L26" i="16"/>
  <c r="M26" i="16" s="1"/>
  <c r="K26" i="16"/>
  <c r="J26" i="16"/>
  <c r="I26" i="16"/>
  <c r="C26" i="16"/>
  <c r="N26" i="16" s="1"/>
  <c r="K25" i="16"/>
  <c r="L25" i="16" s="1"/>
  <c r="M25" i="16" s="1"/>
  <c r="J25" i="16"/>
  <c r="I25" i="16"/>
  <c r="C25" i="16"/>
  <c r="N25" i="16" s="1"/>
  <c r="N24" i="16"/>
  <c r="J24" i="16"/>
  <c r="K24" i="16" s="1"/>
  <c r="L24" i="16" s="1"/>
  <c r="M24" i="16" s="1"/>
  <c r="I24" i="16"/>
  <c r="C24" i="16"/>
  <c r="I23" i="16"/>
  <c r="J23" i="16" s="1"/>
  <c r="K23" i="16" s="1"/>
  <c r="L23" i="16" s="1"/>
  <c r="M23" i="16" s="1"/>
  <c r="C23" i="16"/>
  <c r="N23" i="16" s="1"/>
  <c r="I22" i="16"/>
  <c r="J22" i="16" s="1"/>
  <c r="K22" i="16" s="1"/>
  <c r="L22" i="16" s="1"/>
  <c r="M22" i="16" s="1"/>
  <c r="C22" i="16"/>
  <c r="N22" i="16" s="1"/>
  <c r="N20" i="16"/>
  <c r="K20" i="16"/>
  <c r="L20" i="16" s="1"/>
  <c r="M20" i="16" s="1"/>
  <c r="J20" i="16"/>
  <c r="I20" i="16"/>
  <c r="C20" i="16"/>
  <c r="N19" i="16"/>
  <c r="J19" i="16"/>
  <c r="K19" i="16" s="1"/>
  <c r="L19" i="16" s="1"/>
  <c r="M19" i="16" s="1"/>
  <c r="I19" i="16"/>
  <c r="C19" i="16"/>
  <c r="I18" i="16"/>
  <c r="J18" i="16" s="1"/>
  <c r="K18" i="16" s="1"/>
  <c r="L18" i="16" s="1"/>
  <c r="M18" i="16" s="1"/>
  <c r="C18" i="16"/>
  <c r="N18" i="16" s="1"/>
  <c r="I17" i="16"/>
  <c r="J17" i="16" s="1"/>
  <c r="K17" i="16" s="1"/>
  <c r="L17" i="16" s="1"/>
  <c r="M17" i="16" s="1"/>
  <c r="C17" i="16"/>
  <c r="N17" i="16" s="1"/>
  <c r="N15" i="16"/>
  <c r="K15" i="16"/>
  <c r="L15" i="16" s="1"/>
  <c r="M15" i="16" s="1"/>
  <c r="J15" i="16"/>
  <c r="I15" i="16"/>
  <c r="C15" i="16"/>
  <c r="N14" i="16"/>
  <c r="J14" i="16"/>
  <c r="K14" i="16" s="1"/>
  <c r="L14" i="16" s="1"/>
  <c r="M14" i="16" s="1"/>
  <c r="I14" i="16"/>
  <c r="C14" i="16"/>
  <c r="I13" i="16"/>
  <c r="J13" i="16" s="1"/>
  <c r="K13" i="16" s="1"/>
  <c r="L13" i="16" s="1"/>
  <c r="M13" i="16" s="1"/>
  <c r="C13" i="16"/>
  <c r="N13" i="16" s="1"/>
  <c r="I12" i="16"/>
  <c r="J12" i="16" s="1"/>
  <c r="K12" i="16" s="1"/>
  <c r="L12" i="16" s="1"/>
  <c r="M12" i="16" s="1"/>
  <c r="C12" i="16"/>
  <c r="N12" i="16" s="1"/>
  <c r="N11" i="16"/>
  <c r="J11" i="16"/>
  <c r="K11" i="16" s="1"/>
  <c r="L11" i="16" s="1"/>
  <c r="M11" i="16" s="1"/>
  <c r="I11" i="16"/>
  <c r="C11" i="16"/>
  <c r="N10" i="16"/>
  <c r="N27" i="16" s="1"/>
  <c r="C49" i="16" s="1"/>
  <c r="I10" i="16"/>
  <c r="J10" i="16" s="1"/>
  <c r="K10" i="16" s="1"/>
  <c r="L10" i="16" s="1"/>
  <c r="M10" i="16" s="1"/>
  <c r="C10" i="16"/>
  <c r="C27" i="16" s="1"/>
  <c r="C2" i="16"/>
  <c r="C4" i="16" s="1"/>
  <c r="C42" i="16" s="1"/>
  <c r="C23" i="2"/>
  <c r="C24" i="2"/>
  <c r="C25" i="2"/>
  <c r="C26" i="2"/>
  <c r="N26" i="2" s="1"/>
  <c r="C22" i="2"/>
  <c r="I26" i="2"/>
  <c r="J26" i="2" s="1"/>
  <c r="K26" i="2" s="1"/>
  <c r="L26" i="2" s="1"/>
  <c r="N25" i="2"/>
  <c r="I25" i="2"/>
  <c r="J25" i="2" s="1"/>
  <c r="K25" i="2" s="1"/>
  <c r="L25" i="2" s="1"/>
  <c r="M25" i="2" s="1"/>
  <c r="N24" i="2"/>
  <c r="I24" i="2"/>
  <c r="J24" i="2" s="1"/>
  <c r="K24" i="2" s="1"/>
  <c r="L24" i="2" s="1"/>
  <c r="M24" i="2" s="1"/>
  <c r="C18" i="2"/>
  <c r="C19" i="2"/>
  <c r="N19" i="2" s="1"/>
  <c r="C20" i="2"/>
  <c r="C17" i="2"/>
  <c r="C15" i="2"/>
  <c r="C14" i="2"/>
  <c r="C13" i="2"/>
  <c r="C12" i="2"/>
  <c r="C11" i="2"/>
  <c r="C10" i="2"/>
  <c r="E22" i="6"/>
  <c r="E12" i="6"/>
  <c r="C2" i="2"/>
  <c r="I19" i="2"/>
  <c r="J19" i="2" s="1"/>
  <c r="K19" i="2" s="1"/>
  <c r="L19" i="2" s="1"/>
  <c r="M19" i="2" s="1"/>
  <c r="I14" i="2"/>
  <c r="J14" i="2" s="1"/>
  <c r="K14" i="2" s="1"/>
  <c r="L14" i="2" s="1"/>
  <c r="M14" i="2" s="1"/>
  <c r="N14" i="2"/>
  <c r="F3" i="8"/>
  <c r="E47" i="2"/>
  <c r="E48" i="2"/>
  <c r="C3" i="8"/>
  <c r="D3" i="8" s="1"/>
  <c r="D8" i="8"/>
  <c r="D7" i="8"/>
  <c r="B7" i="8"/>
  <c r="D6" i="8"/>
  <c r="F5" i="8"/>
  <c r="C5" i="8"/>
  <c r="D5" i="8" s="1"/>
  <c r="D4" i="8"/>
  <c r="B2" i="8"/>
  <c r="D2" i="8"/>
  <c r="C33" i="2"/>
  <c r="C44" i="2" s="1"/>
  <c r="M27" i="16" l="1"/>
  <c r="C43" i="16" s="1"/>
  <c r="C46" i="16" s="1"/>
  <c r="D4" i="16"/>
  <c r="C50" i="16" s="1"/>
  <c r="M26" i="2"/>
  <c r="N15" i="2"/>
  <c r="N23" i="2"/>
  <c r="I23" i="2"/>
  <c r="J23" i="2" s="1"/>
  <c r="K23" i="2" s="1"/>
  <c r="L23" i="2" s="1"/>
  <c r="M23" i="2" s="1"/>
  <c r="N22" i="2"/>
  <c r="I22" i="2"/>
  <c r="J22" i="2" s="1"/>
  <c r="K22" i="2" s="1"/>
  <c r="L22" i="2" s="1"/>
  <c r="M22" i="2" s="1"/>
  <c r="N20" i="2"/>
  <c r="I20" i="2"/>
  <c r="J20" i="2" s="1"/>
  <c r="K20" i="2" s="1"/>
  <c r="L20" i="2" s="1"/>
  <c r="M20" i="2" s="1"/>
  <c r="N18" i="2"/>
  <c r="I18" i="2"/>
  <c r="J18" i="2" s="1"/>
  <c r="K18" i="2" s="1"/>
  <c r="L18" i="2" s="1"/>
  <c r="M18" i="2" s="1"/>
  <c r="N17" i="2"/>
  <c r="I17" i="2"/>
  <c r="J17" i="2" s="1"/>
  <c r="K17" i="2" s="1"/>
  <c r="L17" i="2" s="1"/>
  <c r="M17" i="2" s="1"/>
  <c r="I15" i="2"/>
  <c r="J15" i="2" s="1"/>
  <c r="K15" i="2" s="1"/>
  <c r="L15" i="2" s="1"/>
  <c r="N13" i="2"/>
  <c r="I13" i="2"/>
  <c r="J13" i="2" s="1"/>
  <c r="K13" i="2" s="1"/>
  <c r="L13" i="2" s="1"/>
  <c r="M13" i="2" s="1"/>
  <c r="I12" i="2"/>
  <c r="J12" i="2" s="1"/>
  <c r="K12" i="2" s="1"/>
  <c r="L12" i="2" s="1"/>
  <c r="N11" i="2"/>
  <c r="I11" i="2"/>
  <c r="J11" i="2" s="1"/>
  <c r="K11" i="2" s="1"/>
  <c r="L11" i="2" s="1"/>
  <c r="M11" i="2" s="1"/>
  <c r="N10" i="2"/>
  <c r="I10" i="2"/>
  <c r="J10" i="2" s="1"/>
  <c r="K10" i="2" s="1"/>
  <c r="L10" i="2" s="1"/>
  <c r="M10" i="2" s="1"/>
  <c r="D4" i="6"/>
  <c r="C47" i="16" l="1"/>
  <c r="C48" i="16"/>
  <c r="M12" i="2"/>
  <c r="M15" i="2"/>
  <c r="C27" i="2"/>
  <c r="C38" i="2" s="1"/>
  <c r="C45" i="2" s="1"/>
  <c r="N12" i="2"/>
  <c r="H4" i="6"/>
  <c r="G4" i="6"/>
  <c r="I3" i="6"/>
  <c r="I4" i="6" l="1"/>
  <c r="N27" i="2" l="1"/>
  <c r="C49" i="2" s="1"/>
  <c r="C4" i="2"/>
  <c r="M27" i="2"/>
  <c r="D4" i="2" l="1"/>
  <c r="C50" i="2" s="1"/>
  <c r="C42" i="2"/>
  <c r="C43" i="2" l="1"/>
  <c r="C46" i="2" l="1"/>
  <c r="F46" i="2" s="1"/>
  <c r="C48" i="2" l="1"/>
  <c r="C47" i="2"/>
</calcChain>
</file>

<file path=xl/sharedStrings.xml><?xml version="1.0" encoding="utf-8"?>
<sst xmlns="http://schemas.openxmlformats.org/spreadsheetml/2006/main" count="185" uniqueCount="90">
  <si>
    <t>Items</t>
  </si>
  <si>
    <t>Age Of Build.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</si>
  <si>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</si>
  <si>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</si>
  <si>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</si>
  <si>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</si>
  <si>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</si>
  <si>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</si>
  <si>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</si>
  <si>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</si>
  <si>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Realisable Value</t>
  </si>
  <si>
    <t>Distress Value</t>
  </si>
  <si>
    <t>Land Development</t>
  </si>
  <si>
    <t>Land Value</t>
  </si>
  <si>
    <t>Structure Value</t>
  </si>
  <si>
    <t>Insurance Value</t>
  </si>
  <si>
    <t>Final Depreciated Rate to be considered</t>
  </si>
  <si>
    <t>Final Depreciated Value to be considered</t>
  </si>
  <si>
    <t xml:space="preserve"> Value</t>
  </si>
  <si>
    <t>Interior and Other Development</t>
  </si>
  <si>
    <t>TOTAL</t>
  </si>
  <si>
    <t>Sr. No.</t>
  </si>
  <si>
    <t>SR. NO.</t>
  </si>
  <si>
    <t>AREA IN SQ. M.</t>
  </si>
  <si>
    <t xml:space="preserve">VALUE </t>
  </si>
  <si>
    <t>RATE/ SQ. M.</t>
  </si>
  <si>
    <t>Land Area</t>
  </si>
  <si>
    <t xml:space="preserve"> Total land area</t>
  </si>
  <si>
    <t>Total fair Value</t>
  </si>
  <si>
    <t>govt. rate</t>
  </si>
  <si>
    <t>Seller Name</t>
  </si>
  <si>
    <t>Purchaser Name</t>
  </si>
  <si>
    <t>Purchase Price</t>
  </si>
  <si>
    <t>Date</t>
  </si>
  <si>
    <t>R. S. No.</t>
  </si>
  <si>
    <t>Stamp Duty &amp; Reg. Chrg</t>
  </si>
  <si>
    <t>Total Book Value</t>
  </si>
  <si>
    <t>Sr.</t>
  </si>
  <si>
    <t>Bldg.</t>
  </si>
  <si>
    <t>Floor</t>
  </si>
  <si>
    <t>Basement</t>
  </si>
  <si>
    <t>First</t>
  </si>
  <si>
    <t>Second</t>
  </si>
  <si>
    <t>Ground</t>
  </si>
  <si>
    <t>Land Area in Sq. M.</t>
  </si>
  <si>
    <t>YOC</t>
  </si>
  <si>
    <t>Built Up Area in Sq. M.</t>
  </si>
  <si>
    <t>Interior and other Development</t>
  </si>
  <si>
    <t>Built up area</t>
  </si>
  <si>
    <t>Land Development Value</t>
  </si>
  <si>
    <t>land area</t>
  </si>
  <si>
    <t>in Sq. M.</t>
  </si>
  <si>
    <t>Built Up Area</t>
  </si>
  <si>
    <t>Year</t>
  </si>
  <si>
    <r>
      <t xml:space="preserve">in </t>
    </r>
    <r>
      <rPr>
        <b/>
        <sz val="10"/>
        <rFont val="Rupee Foradian"/>
        <family val="2"/>
      </rPr>
      <t>`</t>
    </r>
  </si>
  <si>
    <t>Structure</t>
  </si>
  <si>
    <t>With G + 2 Building &amp; 6.40 Cr. Value</t>
  </si>
  <si>
    <t>BUA area of 2323.42 Sq. M.</t>
  </si>
  <si>
    <t>Net Land Area in Sq. M. as per approved plan</t>
  </si>
  <si>
    <t>Previous Valuer</t>
  </si>
  <si>
    <t>Parmes Diamond Exports Pvt. Ltd.</t>
  </si>
  <si>
    <t>14.03.1988</t>
  </si>
  <si>
    <t>Guideline Value</t>
  </si>
  <si>
    <t>F. B. Polishing Works</t>
  </si>
  <si>
    <t>Boundaries</t>
  </si>
  <si>
    <t>North</t>
  </si>
  <si>
    <t>South</t>
  </si>
  <si>
    <t>East</t>
  </si>
  <si>
    <t>West</t>
  </si>
  <si>
    <t>Adj. S. N. 195</t>
  </si>
  <si>
    <t>Adj. S. No. 191 &amp; 192</t>
  </si>
  <si>
    <t>Adj. S. N. 193</t>
  </si>
  <si>
    <t>Mezzanine</t>
  </si>
  <si>
    <t>Old</t>
  </si>
  <si>
    <t>Third</t>
  </si>
  <si>
    <t>Part C</t>
  </si>
  <si>
    <t>Part B</t>
  </si>
  <si>
    <t>Fabricated Canteen</t>
  </si>
  <si>
    <t>Part D</t>
  </si>
  <si>
    <t>Part A</t>
  </si>
  <si>
    <t>Adj. S. N. 195 &amp; Navsari to Dantej Village Road</t>
  </si>
  <si>
    <t>1999 &amp; 2017</t>
  </si>
  <si>
    <t>Year of Const. considered for valuation</t>
  </si>
  <si>
    <t>Old &amp; Part A &amp; Part D</t>
  </si>
  <si>
    <t>Fabricated Canteen on First Floor</t>
  </si>
  <si>
    <t>Year of Const.</t>
  </si>
  <si>
    <t xml:space="preserve">Canteen </t>
  </si>
  <si>
    <t>Bunaglaow</t>
  </si>
  <si>
    <t>Old Canteen</t>
  </si>
  <si>
    <t>Manager Bungalow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</si>
</sst>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(* #,##0.000_);_(* \(#,##0.0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 Narrow"/>
      <family val="2"/>
    </font>
    <font>
      <sz val="10"/>
      <color rgb="FF000000"/>
      <name val="Times New Roman"/>
      <family val="1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Rupee Foradian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164" fontId="10" fillId="0" borderId="0" applyFont="0" applyFill="0" applyBorder="0" applyAlignment="0" applyProtection="0"/>
    <xf numFmtId="0" fontId="10" fillId="0" borderId="0"/>
    <xf numFmtId="0" fontId="12" fillId="0" borderId="0"/>
    <xf numFmtId="164" fontId="12" fillId="0" borderId="0" applyFont="0" applyFill="0" applyBorder="0" applyAlignment="0" applyProtection="0"/>
    <xf numFmtId="0" fontId="13" fillId="0" borderId="0"/>
    <xf numFmtId="9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>
      <alignment vertical="center"/>
    </xf>
    <xf numFmtId="0" fontId="15" fillId="0" borderId="0"/>
    <xf numFmtId="0" fontId="15" fillId="0" borderId="0"/>
    <xf numFmtId="0" fontId="13" fillId="0" borderId="0"/>
    <xf numFmtId="0" fontId="10" fillId="0" borderId="0"/>
    <xf numFmtId="9" fontId="10" fillId="0" borderId="0" applyFont="0" applyFill="0" applyBorder="0" applyAlignment="0" applyProtection="0"/>
  </cellStyleXfs>
  <cellXfs count="117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5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5" fillId="0" borderId="0" xfId="0" applyFont="1" applyAlignment="1">
      <alignment wrapText="1"/>
    </xf>
    <xf numFmtId="0" fontId="7" fillId="0" borderId="0" xfId="0" applyFont="1" applyAlignment="1">
      <alignment horizontal="center"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7" fillId="0" borderId="0" xfId="0" applyNumberFormat="1" applyFont="1"/>
    <xf numFmtId="0" fontId="7" fillId="0" borderId="0" xfId="0" applyFont="1"/>
    <xf numFmtId="0" fontId="6" fillId="0" borderId="0" xfId="0" applyFont="1"/>
    <xf numFmtId="0" fontId="1" fillId="0" borderId="1" xfId="0" applyFont="1" applyBorder="1" applyAlignment="1">
      <alignment horizontal="center" wrapText="1"/>
    </xf>
    <xf numFmtId="4" fontId="6" fillId="0" borderId="1" xfId="0" applyNumberFormat="1" applyFont="1" applyBorder="1" applyAlignment="1">
      <alignment vertical="top"/>
    </xf>
    <xf numFmtId="4" fontId="6" fillId="0" borderId="0" xfId="0" applyNumberFormat="1" applyFont="1" applyAlignment="1">
      <alignment vertical="top"/>
    </xf>
    <xf numFmtId="0" fontId="6" fillId="0" borderId="1" xfId="0" applyFont="1" applyBorder="1" applyAlignment="1">
      <alignment horizontal="right" vertical="top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top" wrapText="1"/>
    </xf>
    <xf numFmtId="0" fontId="6" fillId="0" borderId="0" xfId="0" applyFont="1" applyAlignment="1">
      <alignment horizontal="right" vertical="center" wrapText="1"/>
    </xf>
    <xf numFmtId="4" fontId="6" fillId="0" borderId="0" xfId="0" applyNumberFormat="1" applyFont="1" applyAlignment="1">
      <alignment horizontal="right" vertical="top"/>
    </xf>
    <xf numFmtId="164" fontId="1" fillId="0" borderId="0" xfId="1" applyFont="1"/>
    <xf numFmtId="0" fontId="4" fillId="0" borderId="0" xfId="0" applyFont="1" applyAlignment="1">
      <alignment horizontal="center"/>
    </xf>
    <xf numFmtId="0" fontId="6" fillId="0" borderId="1" xfId="0" applyFont="1" applyBorder="1" applyAlignment="1">
      <alignment vertical="top"/>
    </xf>
    <xf numFmtId="0" fontId="6" fillId="0" borderId="0" xfId="0" applyFont="1" applyAlignment="1">
      <alignment vertical="top"/>
    </xf>
    <xf numFmtId="0" fontId="6" fillId="0" borderId="1" xfId="0" applyFont="1" applyBorder="1" applyAlignment="1">
      <alignment horizontal="center"/>
    </xf>
    <xf numFmtId="164" fontId="6" fillId="0" borderId="1" xfId="1" applyFont="1" applyBorder="1" applyAlignment="1">
      <alignment vertical="top"/>
    </xf>
    <xf numFmtId="164" fontId="4" fillId="0" borderId="1" xfId="1" applyFont="1" applyBorder="1" applyAlignment="1">
      <alignment horizontal="center" vertical="top" wrapText="1" shrinkToFit="1"/>
    </xf>
    <xf numFmtId="164" fontId="1" fillId="0" borderId="1" xfId="1" applyFont="1" applyBorder="1" applyAlignment="1">
      <alignment horizontal="right" vertical="top" wrapText="1"/>
    </xf>
    <xf numFmtId="164" fontId="8" fillId="0" borderId="0" xfId="1" applyFont="1" applyBorder="1" applyAlignment="1">
      <alignment horizontal="right" wrapText="1"/>
    </xf>
    <xf numFmtId="164" fontId="1" fillId="0" borderId="0" xfId="1" applyFont="1" applyBorder="1" applyAlignment="1">
      <alignment vertical="top"/>
    </xf>
    <xf numFmtId="164" fontId="5" fillId="0" borderId="0" xfId="1" applyFont="1" applyAlignment="1">
      <alignment horizontal="center" vertical="top"/>
    </xf>
    <xf numFmtId="164" fontId="6" fillId="0" borderId="1" xfId="1" applyFont="1" applyBorder="1" applyAlignment="1">
      <alignment horizontal="right" vertical="top" wrapText="1"/>
    </xf>
    <xf numFmtId="0" fontId="5" fillId="0" borderId="0" xfId="0" applyFont="1"/>
    <xf numFmtId="164" fontId="11" fillId="0" borderId="1" xfId="1" applyFont="1" applyBorder="1" applyAlignment="1">
      <alignment horizontal="right" wrapText="1"/>
    </xf>
    <xf numFmtId="0" fontId="9" fillId="0" borderId="1" xfId="0" applyFont="1" applyBorder="1" applyAlignment="1">
      <alignment horizontal="right" vertical="center" wrapText="1"/>
    </xf>
    <xf numFmtId="164" fontId="9" fillId="0" borderId="1" xfId="1" applyFont="1" applyBorder="1" applyAlignment="1">
      <alignment horizontal="right" vertical="top"/>
    </xf>
    <xf numFmtId="0" fontId="9" fillId="0" borderId="1" xfId="0" applyFont="1" applyBorder="1" applyAlignment="1">
      <alignment vertical="top"/>
    </xf>
    <xf numFmtId="164" fontId="9" fillId="0" borderId="1" xfId="1" applyFont="1" applyBorder="1" applyAlignment="1">
      <alignment vertical="top"/>
    </xf>
    <xf numFmtId="0" fontId="9" fillId="0" borderId="0" xfId="0" applyFont="1" applyAlignment="1">
      <alignment vertical="top"/>
    </xf>
    <xf numFmtId="0" fontId="5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164" fontId="9" fillId="0" borderId="0" xfId="1" applyFont="1"/>
    <xf numFmtId="164" fontId="1" fillId="0" borderId="0" xfId="1" applyFont="1" applyBorder="1"/>
    <xf numFmtId="164" fontId="0" fillId="0" borderId="0" xfId="1" applyFont="1"/>
    <xf numFmtId="0" fontId="1" fillId="0" borderId="1" xfId="0" applyFont="1" applyBorder="1" applyAlignment="1">
      <alignment horizontal="left" vertical="top" wrapText="1"/>
    </xf>
    <xf numFmtId="164" fontId="6" fillId="0" borderId="0" xfId="0" applyNumberFormat="1" applyFont="1" applyAlignment="1">
      <alignment horizontal="right" vertical="center" wrapText="1"/>
    </xf>
    <xf numFmtId="4" fontId="6" fillId="0" borderId="0" xfId="0" applyNumberFormat="1" applyFont="1"/>
    <xf numFmtId="43" fontId="1" fillId="0" borderId="0" xfId="0" applyNumberFormat="1" applyFont="1"/>
    <xf numFmtId="0" fontId="1" fillId="0" borderId="1" xfId="0" applyFont="1" applyBorder="1" applyAlignment="1">
      <alignment horizontal="center" vertical="center"/>
    </xf>
    <xf numFmtId="165" fontId="1" fillId="0" borderId="1" xfId="1" applyNumberFormat="1" applyFont="1" applyBorder="1" applyAlignment="1">
      <alignment horizontal="center" vertical="center"/>
    </xf>
    <xf numFmtId="0" fontId="1" fillId="0" borderId="1" xfId="1" applyNumberFormat="1" applyFont="1" applyBorder="1" applyAlignment="1">
      <alignment horizontal="center" vertical="center" wrapText="1"/>
    </xf>
    <xf numFmtId="164" fontId="1" fillId="0" borderId="1" xfId="1" applyFont="1" applyBorder="1" applyAlignment="1">
      <alignment horizontal="right" vertical="center"/>
    </xf>
    <xf numFmtId="164" fontId="1" fillId="0" borderId="0" xfId="0" applyNumberFormat="1" applyFont="1"/>
    <xf numFmtId="0" fontId="1" fillId="0" borderId="1" xfId="0" applyFont="1" applyBorder="1" applyAlignment="1">
      <alignment horizontal="center" vertical="center" wrapText="1"/>
    </xf>
    <xf numFmtId="165" fontId="5" fillId="0" borderId="1" xfId="1" applyNumberFormat="1" applyFont="1" applyBorder="1"/>
    <xf numFmtId="0" fontId="5" fillId="0" borderId="1" xfId="1" applyNumberFormat="1" applyFont="1" applyBorder="1" applyAlignment="1">
      <alignment wrapText="1"/>
    </xf>
    <xf numFmtId="164" fontId="5" fillId="0" borderId="1" xfId="1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64" fontId="5" fillId="0" borderId="2" xfId="1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left" vertical="top" wrapText="1"/>
    </xf>
    <xf numFmtId="164" fontId="5" fillId="0" borderId="1" xfId="1" applyFont="1" applyBorder="1" applyAlignment="1">
      <alignment horizontal="right" vertical="top" wrapText="1"/>
    </xf>
    <xf numFmtId="0" fontId="9" fillId="0" borderId="1" xfId="0" applyFont="1" applyBorder="1" applyAlignment="1">
      <alignment horizontal="right" vertical="top" wrapText="1"/>
    </xf>
    <xf numFmtId="164" fontId="9" fillId="0" borderId="1" xfId="1" applyFont="1" applyBorder="1" applyAlignment="1">
      <alignment horizontal="right" vertical="top" wrapText="1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/>
    <xf numFmtId="164" fontId="1" fillId="0" borderId="1" xfId="1" applyFont="1" applyBorder="1" applyAlignment="1">
      <alignment wrapText="1"/>
    </xf>
    <xf numFmtId="0" fontId="1" fillId="0" borderId="1" xfId="0" applyFont="1" applyBorder="1" applyAlignment="1">
      <alignment wrapText="1"/>
    </xf>
    <xf numFmtId="164" fontId="1" fillId="0" borderId="1" xfId="1" applyFont="1" applyBorder="1"/>
    <xf numFmtId="0" fontId="1" fillId="0" borderId="1" xfId="0" applyFont="1" applyBorder="1" applyAlignment="1">
      <alignment horizontal="center"/>
    </xf>
    <xf numFmtId="43" fontId="6" fillId="0" borderId="1" xfId="7" applyFont="1" applyBorder="1"/>
    <xf numFmtId="43" fontId="6" fillId="0" borderId="1" xfId="7" applyFont="1" applyBorder="1" applyAlignment="1">
      <alignment vertical="top"/>
    </xf>
    <xf numFmtId="43" fontId="6" fillId="0" borderId="0" xfId="7" applyFont="1" applyAlignment="1">
      <alignment vertical="top"/>
    </xf>
    <xf numFmtId="43" fontId="9" fillId="0" borderId="1" xfId="7" applyFont="1" applyBorder="1"/>
    <xf numFmtId="164" fontId="0" fillId="0" borderId="0" xfId="1" applyFont="1" applyAlignment="1">
      <alignment wrapText="1"/>
    </xf>
    <xf numFmtId="164" fontId="5" fillId="0" borderId="1" xfId="1" applyFont="1" applyBorder="1"/>
    <xf numFmtId="0" fontId="9" fillId="0" borderId="1" xfId="0" applyFont="1" applyBorder="1" applyAlignment="1">
      <alignment horizontal="center" wrapText="1"/>
    </xf>
    <xf numFmtId="164" fontId="9" fillId="0" borderId="1" xfId="1" applyFont="1" applyBorder="1"/>
    <xf numFmtId="10" fontId="1" fillId="0" borderId="0" xfId="17" applyNumberFormat="1" applyFont="1"/>
    <xf numFmtId="4" fontId="9" fillId="0" borderId="0" xfId="0" applyNumberFormat="1" applyFont="1" applyAlignment="1">
      <alignment horizontal="center" vertical="center"/>
    </xf>
    <xf numFmtId="164" fontId="6" fillId="0" borderId="1" xfId="1" applyFont="1" applyBorder="1"/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center"/>
    </xf>
    <xf numFmtId="164" fontId="1" fillId="0" borderId="1" xfId="1" applyFont="1" applyBorder="1" applyAlignment="1">
      <alignment horizontal="center" vertical="center" wrapText="1"/>
    </xf>
    <xf numFmtId="164" fontId="9" fillId="0" borderId="0" xfId="1" applyFont="1" applyBorder="1"/>
    <xf numFmtId="43" fontId="6" fillId="0" borderId="0" xfId="7" applyFont="1" applyBorder="1"/>
    <xf numFmtId="43" fontId="6" fillId="0" borderId="0" xfId="7" applyFont="1" applyBorder="1" applyAlignment="1">
      <alignment vertical="top"/>
    </xf>
    <xf numFmtId="0" fontId="5" fillId="0" borderId="0" xfId="0" applyFont="1" applyAlignment="1">
      <alignment horizontal="center" vertical="top" wrapText="1"/>
    </xf>
    <xf numFmtId="43" fontId="9" fillId="0" borderId="0" xfId="7" applyFont="1" applyBorder="1"/>
    <xf numFmtId="164" fontId="6" fillId="0" borderId="0" xfId="1" applyFont="1" applyBorder="1"/>
    <xf numFmtId="43" fontId="3" fillId="0" borderId="0" xfId="0" applyNumberFormat="1" applyFont="1"/>
    <xf numFmtId="0" fontId="5" fillId="0" borderId="9" xfId="0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18">
    <cellStyle name="Comma" xfId="1" builtinId="3"/>
    <cellStyle name="Comma 2" xfId="7" xr:uid="{00000000-0005-0000-0000-000001000000}"/>
    <cellStyle name="Comma 3" xfId="8" xr:uid="{00000000-0005-0000-0000-000002000000}"/>
    <cellStyle name="Comma 4" xfId="9" xr:uid="{00000000-0005-0000-0000-000003000000}"/>
    <cellStyle name="Comma 5" xfId="4" xr:uid="{00000000-0005-0000-0000-000004000000}"/>
    <cellStyle name="Normal" xfId="0" builtinId="0"/>
    <cellStyle name="Normal 2" xfId="10" xr:uid="{00000000-0005-0000-0000-000006000000}"/>
    <cellStyle name="Normal 3" xfId="3" xr:uid="{00000000-0005-0000-0000-000007000000}"/>
    <cellStyle name="Normal 32" xfId="11" xr:uid="{00000000-0005-0000-0000-000008000000}"/>
    <cellStyle name="Normal 4" xfId="2" xr:uid="{00000000-0005-0000-0000-000009000000}"/>
    <cellStyle name="Normal 47" xfId="12" xr:uid="{00000000-0005-0000-0000-00000A000000}"/>
    <cellStyle name="Normal 5" xfId="13" xr:uid="{00000000-0005-0000-0000-00000B000000}"/>
    <cellStyle name="Normal 50" xfId="5" xr:uid="{00000000-0005-0000-0000-00000C000000}"/>
    <cellStyle name="Normal 6" xfId="14" xr:uid="{00000000-0005-0000-0000-00000D000000}"/>
    <cellStyle name="Normal 61" xfId="15" xr:uid="{00000000-0005-0000-0000-00000E000000}"/>
    <cellStyle name="Normal 7" xfId="16" xr:uid="{00000000-0005-0000-0000-00000F000000}"/>
    <cellStyle name="Percent" xfId="17" builtinId="5"/>
    <cellStyle name="Percent 2" xfId="6" xr:uid="{00000000-0005-0000-0000-000010000000}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1609725</xdr:colOff>
      <xdr:row>5</xdr:row>
      <xdr:rowOff>19050</xdr:rowOff>
    </xdr:from>
    <xdr:to>
      <xdr:col>11</xdr:col>
      <xdr:colOff>1191493</xdr:colOff>
      <xdr:row>37</xdr:row>
      <xdr:rowOff>86670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4C7B01-D0D3-5635-F752-20F7532E6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0" y="1276350"/>
          <a:ext cx="6220693" cy="6773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315135</xdr:colOff>
      <xdr:row>43</xdr:row>
      <xdr:rowOff>20196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161CF5-3314-A844-F199-726F3F088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01535" cy="8211696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16</xdr:row>
      <xdr:rowOff>180976</xdr:rowOff>
    </xdr:from>
    <xdr:to>
      <xdr:col>9</xdr:col>
      <xdr:colOff>104775</xdr:colOff>
      <xdr:row>18</xdr:row>
      <xdr:rowOff>104776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CA60ACC-84A3-4D26-90ED-1E6AF5744911}"/>
            </a:ext>
          </a:extLst>
        </xdr:cNvPr>
        <xdr:cNvSpPr/>
      </xdr:nvSpPr>
      <xdr:spPr>
        <a:xfrm>
          <a:off x="238125" y="3228976"/>
          <a:ext cx="5353050" cy="3048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411164</xdr:colOff>
      <xdr:row>40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3D42DF-D6CC-8996-BE72-D2F52E425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83964" cy="76686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497326</xdr:colOff>
      <xdr:row>46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C8FA8C-2F4D-CE34-AE22-92A6A78DC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18126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153698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B9A010-8AD4-9312-A8AF-402451DD9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97698" cy="8897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373484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66BE2F-C420-118A-CF69-C61D22614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94284" cy="8440328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13</xdr:row>
      <xdr:rowOff>0</xdr:rowOff>
    </xdr:from>
    <xdr:to>
      <xdr:col>43</xdr:col>
      <xdr:colOff>163564</xdr:colOff>
      <xdr:row>44</xdr:row>
      <xdr:rowOff>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973D79-1B66-8FFE-0C98-EBE67ABC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30400" y="2476500"/>
          <a:ext cx="11745964" cy="59063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220637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CFF0A7-2EA3-E492-F77D-8E9EA81AD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93437" cy="8430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106321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1679A0-E282-C5D8-1EA6-A8855C51B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79121" cy="89833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49163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69740D-8EE6-2C29-F953-61D1800EB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21963" cy="896427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F24" totalsRowShown="0" headerRowDxfId="6" dataDxfId="5" headerRowCellStyle="Comma" dataCellStyle="Comma">
  <autoFilter ref="A1:F24" xr:uid="{00000000-0009-0000-0100-000001000000}"/>
  <sortState xmlns:xlrd2="http://schemas.microsoft.com/office/spreadsheetml/2017/richdata2" ref="A2:D24">
    <sortCondition ref="A1:A24"/>
  </sortState>
  <tableColumns count="6">
    <tableColumn id="1" xr3:uid="{00000000-0010-0000-0000-000001000000}" name="SR. NO."/>
    <tableColumn id="2" xr3:uid="{00000000-0010-0000-0000-000002000000}" name="AREA IN SQ. M." dataDxfId="4" dataCellStyle="Comma"/>
    <tableColumn id="3" xr3:uid="{00000000-0010-0000-0000-000003000000}" name="VALUE " dataDxfId="3" dataCellStyle="Comma"/>
    <tableColumn id="4" xr3:uid="{00000000-0010-0000-0000-000004000000}" name="RATE/ SQ. M." dataDxfId="2" dataCellStyle="Comma"/>
    <tableColumn id="5" xr3:uid="{74AE99A4-8AE1-43A1-9D1A-0FEEAC0713F4}" name="Structure" dataDxfId="1" dataCellStyle="Comma"/>
    <tableColumn id="6" xr3:uid="{C33A4B51-D9E6-4193-856F-B917328808A8}" name="Structure Value" dataDxfId="0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8"/>
  <sheetViews>
    <sheetView workbookViewId="0">
      <pane xSplit="3" ySplit="7" topLeftCell="D8" activePane="bottomRight" state="frozen"/>
      <selection pane="topRight" activeCell="E1" sqref="E1"/>
      <selection pane="bottomLeft" activeCell="A7" sqref="A7"/>
      <selection pane="bottomRight" activeCell="C37" sqref="C37"/>
    </sheetView>
  </sheetViews>
  <sheetFormatPr defaultColWidth="9.140625" defaultRowHeight="16.5" x14ac:dyDescent="0.3"/>
  <cols>
    <col min="1" max="1" width="9.140625" style="1"/>
    <col min="2" max="2" width="19.42578125" style="2" customWidth="1"/>
    <col min="3" max="3" width="16.42578125" style="28" bestFit="1" customWidth="1"/>
    <col min="4" max="4" width="14" style="28" bestFit="1" customWidth="1"/>
    <col min="5" max="5" width="15" style="1" bestFit="1" customWidth="1"/>
    <col min="6" max="6" width="9.7109375" style="1" bestFit="1" customWidth="1"/>
    <col min="7" max="7" width="8.140625" style="5" customWidth="1"/>
    <col min="8" max="8" width="9.7109375" style="5" bestFit="1" customWidth="1"/>
    <col min="9" max="9" width="6" style="5" bestFit="1" customWidth="1"/>
    <col min="10" max="10" width="13.85546875" style="1" bestFit="1" customWidth="1"/>
    <col min="11" max="11" width="10" style="5" bestFit="1" customWidth="1"/>
    <col min="12" max="12" width="14.140625" style="1" bestFit="1" customWidth="1"/>
    <col min="13" max="14" width="16" style="5" bestFit="1" customWidth="1"/>
    <col min="15" max="15" width="13.28515625" style="5" bestFit="1" customWidth="1"/>
    <col min="16" max="16384" width="9.140625" style="1"/>
  </cols>
  <sheetData>
    <row r="1" spans="1:15" x14ac:dyDescent="0.3">
      <c r="B1" s="10" t="s">
        <v>13</v>
      </c>
      <c r="H1" s="1"/>
      <c r="J1" s="5"/>
      <c r="M1" s="1"/>
      <c r="N1" s="1"/>
      <c r="O1" s="1"/>
    </row>
    <row r="2" spans="1:15" x14ac:dyDescent="0.3">
      <c r="B2" s="19" t="s">
        <v>27</v>
      </c>
      <c r="C2" s="77">
        <f>Area!$E$6</f>
        <v>23572.74</v>
      </c>
      <c r="D2" s="74" t="s">
        <v>29</v>
      </c>
      <c r="F2" s="5"/>
      <c r="G2" s="1"/>
      <c r="J2" s="5"/>
      <c r="K2" s="1"/>
      <c r="M2" s="1"/>
      <c r="N2" s="1"/>
      <c r="O2" s="1"/>
    </row>
    <row r="3" spans="1:15" x14ac:dyDescent="0.3">
      <c r="A3" s="18"/>
      <c r="B3" s="32" t="s">
        <v>8</v>
      </c>
      <c r="C3" s="33">
        <v>9500</v>
      </c>
      <c r="D3" s="20">
        <v>1380</v>
      </c>
      <c r="E3" s="55"/>
      <c r="F3" s="5"/>
      <c r="G3" s="1"/>
      <c r="J3" s="5"/>
      <c r="K3" s="1"/>
      <c r="M3" s="1"/>
      <c r="N3" s="1"/>
      <c r="O3" s="1"/>
    </row>
    <row r="4" spans="1:15" x14ac:dyDescent="0.3">
      <c r="A4" s="18"/>
      <c r="B4" s="85" t="s">
        <v>18</v>
      </c>
      <c r="C4" s="86">
        <f>ROUND((C2*C3),0)</f>
        <v>223941030</v>
      </c>
      <c r="D4" s="86">
        <f>D3*C2</f>
        <v>32530381.200000003</v>
      </c>
      <c r="F4" s="99"/>
      <c r="G4" s="1"/>
      <c r="J4" s="5"/>
      <c r="K4" s="1"/>
      <c r="M4" s="1"/>
      <c r="N4" s="1"/>
      <c r="O4" s="1"/>
    </row>
    <row r="5" spans="1:15" x14ac:dyDescent="0.3">
      <c r="A5" s="18"/>
      <c r="B5" s="48"/>
      <c r="C5" s="49"/>
      <c r="D5" s="49"/>
      <c r="E5" s="49"/>
      <c r="H5" s="1"/>
      <c r="J5" s="5"/>
      <c r="M5" s="1"/>
      <c r="N5" s="1"/>
      <c r="O5" s="1"/>
    </row>
    <row r="6" spans="1:15" x14ac:dyDescent="0.3">
      <c r="B6" s="10" t="s">
        <v>14</v>
      </c>
      <c r="H6" s="18"/>
      <c r="I6" s="18"/>
      <c r="J6" s="18"/>
      <c r="K6" s="18"/>
      <c r="L6" s="18"/>
      <c r="M6" s="18"/>
      <c r="N6" s="18"/>
      <c r="O6" s="18"/>
    </row>
    <row r="7" spans="1:15" s="3" customFormat="1" ht="38.25" x14ac:dyDescent="0.2">
      <c r="B7" s="4" t="s">
        <v>0</v>
      </c>
      <c r="C7" s="34" t="s">
        <v>52</v>
      </c>
      <c r="D7" s="4" t="s">
        <v>85</v>
      </c>
      <c r="E7" s="4" t="s">
        <v>82</v>
      </c>
      <c r="F7" s="4" t="s">
        <v>2</v>
      </c>
      <c r="G7" s="4" t="s">
        <v>3</v>
      </c>
      <c r="H7" s="4" t="s">
        <v>7</v>
      </c>
      <c r="I7" s="4" t="s">
        <v>1</v>
      </c>
      <c r="J7" s="4" t="s">
        <v>4</v>
      </c>
      <c r="K7" s="4" t="s">
        <v>5</v>
      </c>
      <c r="L7" s="4" t="s">
        <v>16</v>
      </c>
      <c r="M7" s="4" t="s">
        <v>17</v>
      </c>
      <c r="N7" s="4" t="s">
        <v>6</v>
      </c>
      <c r="O7" s="29"/>
    </row>
    <row r="8" spans="1:15" s="3" customFormat="1" ht="12.75" x14ac:dyDescent="0.2">
      <c r="B8" s="4"/>
      <c r="C8" s="34" t="s">
        <v>51</v>
      </c>
      <c r="D8" s="4" t="s">
        <v>53</v>
      </c>
      <c r="E8" s="4" t="s">
        <v>53</v>
      </c>
      <c r="F8" s="4"/>
      <c r="G8" s="4" t="s">
        <v>53</v>
      </c>
      <c r="H8" s="4" t="s">
        <v>54</v>
      </c>
      <c r="I8" s="4"/>
      <c r="J8" s="4"/>
      <c r="K8" s="4"/>
      <c r="L8" s="4" t="s">
        <v>54</v>
      </c>
      <c r="M8" s="4" t="s">
        <v>54</v>
      </c>
      <c r="N8" s="4" t="s">
        <v>54</v>
      </c>
      <c r="O8" s="29"/>
    </row>
    <row r="9" spans="1:15" s="3" customFormat="1" x14ac:dyDescent="0.2">
      <c r="B9" s="69" t="s">
        <v>83</v>
      </c>
      <c r="C9" s="70"/>
      <c r="D9" s="70"/>
      <c r="E9" s="71"/>
      <c r="F9" s="71"/>
      <c r="G9" s="71"/>
      <c r="H9" s="72"/>
      <c r="I9" s="44"/>
      <c r="J9" s="44"/>
      <c r="K9" s="45"/>
      <c r="L9" s="45"/>
      <c r="M9" s="45"/>
      <c r="N9" s="45"/>
      <c r="O9" s="29"/>
    </row>
    <row r="10" spans="1:15" s="3" customFormat="1" x14ac:dyDescent="0.2">
      <c r="B10" s="52" t="s">
        <v>40</v>
      </c>
      <c r="C10" s="35">
        <f>Area!E9</f>
        <v>1017.42</v>
      </c>
      <c r="D10" s="22">
        <v>1990</v>
      </c>
      <c r="E10" s="22">
        <v>1990</v>
      </c>
      <c r="F10" s="22">
        <v>2024</v>
      </c>
      <c r="G10" s="22">
        <v>60</v>
      </c>
      <c r="H10" s="39">
        <v>18000</v>
      </c>
      <c r="I10" s="30">
        <f t="shared" ref="I10:I15" si="0">F10-E10</f>
        <v>34</v>
      </c>
      <c r="J10" s="30">
        <f t="shared" ref="J10:J23" si="1">IF(I10&gt;=5,90*I10/G10,0)</f>
        <v>51</v>
      </c>
      <c r="K10" s="33">
        <f t="shared" ref="K10:K23" si="2">H10/100*J10</f>
        <v>9180</v>
      </c>
      <c r="L10" s="33">
        <f t="shared" ref="L10:L23" si="3">ROUND((H10-K10),0)</f>
        <v>8820</v>
      </c>
      <c r="M10" s="33">
        <f t="shared" ref="M10:M15" si="4">ROUND((L10*C10),0)</f>
        <v>8973644</v>
      </c>
      <c r="N10" s="33">
        <f t="shared" ref="N10:N15" si="5">ROUND((C10*H10),0)</f>
        <v>18313560</v>
      </c>
      <c r="O10" s="29"/>
    </row>
    <row r="11" spans="1:15" s="3" customFormat="1" x14ac:dyDescent="0.2">
      <c r="B11" s="52" t="s">
        <v>43</v>
      </c>
      <c r="C11" s="35">
        <f>Area!E10</f>
        <v>2681.85</v>
      </c>
      <c r="D11" s="22">
        <v>1990</v>
      </c>
      <c r="E11" s="22">
        <v>1990</v>
      </c>
      <c r="F11" s="22">
        <v>2024</v>
      </c>
      <c r="G11" s="22">
        <v>60</v>
      </c>
      <c r="H11" s="39">
        <v>18000</v>
      </c>
      <c r="I11" s="30">
        <f t="shared" si="0"/>
        <v>34</v>
      </c>
      <c r="J11" s="30">
        <f t="shared" si="1"/>
        <v>51</v>
      </c>
      <c r="K11" s="33">
        <f t="shared" si="2"/>
        <v>9180</v>
      </c>
      <c r="L11" s="33">
        <f t="shared" si="3"/>
        <v>8820</v>
      </c>
      <c r="M11" s="33">
        <f t="shared" si="4"/>
        <v>23653917</v>
      </c>
      <c r="N11" s="33">
        <f t="shared" si="5"/>
        <v>48273300</v>
      </c>
      <c r="O11" s="29"/>
    </row>
    <row r="12" spans="1:15" s="3" customFormat="1" x14ac:dyDescent="0.2">
      <c r="B12" s="52" t="s">
        <v>72</v>
      </c>
      <c r="C12" s="35">
        <f>Area!E11</f>
        <v>113.69</v>
      </c>
      <c r="D12" s="22">
        <v>1990</v>
      </c>
      <c r="E12" s="22">
        <v>1990</v>
      </c>
      <c r="F12" s="22">
        <v>2024</v>
      </c>
      <c r="G12" s="22">
        <v>60</v>
      </c>
      <c r="H12" s="39">
        <v>12000</v>
      </c>
      <c r="I12" s="30">
        <f t="shared" si="0"/>
        <v>34</v>
      </c>
      <c r="J12" s="30">
        <f t="shared" si="1"/>
        <v>51</v>
      </c>
      <c r="K12" s="33">
        <f t="shared" si="2"/>
        <v>6120</v>
      </c>
      <c r="L12" s="33">
        <f t="shared" si="3"/>
        <v>5880</v>
      </c>
      <c r="M12" s="33">
        <f t="shared" si="4"/>
        <v>668497</v>
      </c>
      <c r="N12" s="33">
        <f t="shared" si="5"/>
        <v>1364280</v>
      </c>
      <c r="O12" s="29"/>
    </row>
    <row r="13" spans="1:15" s="3" customFormat="1" x14ac:dyDescent="0.2">
      <c r="B13" s="52" t="s">
        <v>41</v>
      </c>
      <c r="C13" s="35">
        <f>Area!E12</f>
        <v>808.4</v>
      </c>
      <c r="D13" s="22">
        <v>1990</v>
      </c>
      <c r="E13" s="22">
        <v>1990</v>
      </c>
      <c r="F13" s="22">
        <v>2024</v>
      </c>
      <c r="G13" s="22">
        <v>60</v>
      </c>
      <c r="H13" s="39">
        <v>18000</v>
      </c>
      <c r="I13" s="30">
        <f t="shared" si="0"/>
        <v>34</v>
      </c>
      <c r="J13" s="30">
        <f t="shared" si="1"/>
        <v>51</v>
      </c>
      <c r="K13" s="33">
        <f t="shared" si="2"/>
        <v>9180</v>
      </c>
      <c r="L13" s="33">
        <f t="shared" si="3"/>
        <v>8820</v>
      </c>
      <c r="M13" s="33">
        <f t="shared" si="4"/>
        <v>7130088</v>
      </c>
      <c r="N13" s="33">
        <f t="shared" si="5"/>
        <v>14551200</v>
      </c>
      <c r="O13" s="29"/>
    </row>
    <row r="14" spans="1:15" s="3" customFormat="1" ht="33" x14ac:dyDescent="0.2">
      <c r="B14" s="52" t="s">
        <v>84</v>
      </c>
      <c r="C14" s="35">
        <f>Area!E13</f>
        <v>2323.16</v>
      </c>
      <c r="D14" s="22">
        <v>2017</v>
      </c>
      <c r="E14" s="22">
        <v>1990</v>
      </c>
      <c r="F14" s="22">
        <v>2024</v>
      </c>
      <c r="G14" s="22">
        <v>60</v>
      </c>
      <c r="H14" s="39">
        <v>12000</v>
      </c>
      <c r="I14" s="30">
        <f t="shared" si="0"/>
        <v>34</v>
      </c>
      <c r="J14" s="30">
        <f t="shared" ref="J14" si="6">IF(I14&gt;=5,90*I14/G14,0)</f>
        <v>51</v>
      </c>
      <c r="K14" s="33">
        <f t="shared" ref="K14" si="7">H14/100*J14</f>
        <v>6120</v>
      </c>
      <c r="L14" s="33">
        <f t="shared" ref="L14" si="8">ROUND((H14-K14),0)</f>
        <v>5880</v>
      </c>
      <c r="M14" s="33">
        <f t="shared" si="4"/>
        <v>13660181</v>
      </c>
      <c r="N14" s="33">
        <f t="shared" si="5"/>
        <v>27877920</v>
      </c>
      <c r="O14" s="29"/>
    </row>
    <row r="15" spans="1:15" s="3" customFormat="1" x14ac:dyDescent="0.2">
      <c r="B15" s="52" t="s">
        <v>42</v>
      </c>
      <c r="C15" s="35">
        <f>Area!E14</f>
        <v>1173.81</v>
      </c>
      <c r="D15" s="22">
        <v>2017</v>
      </c>
      <c r="E15" s="22">
        <v>1990</v>
      </c>
      <c r="F15" s="22">
        <v>2024</v>
      </c>
      <c r="G15" s="22">
        <v>60</v>
      </c>
      <c r="H15" s="39">
        <v>18000</v>
      </c>
      <c r="I15" s="30">
        <f t="shared" si="0"/>
        <v>34</v>
      </c>
      <c r="J15" s="30">
        <f t="shared" si="1"/>
        <v>51</v>
      </c>
      <c r="K15" s="33">
        <f t="shared" si="2"/>
        <v>9180</v>
      </c>
      <c r="L15" s="33">
        <f t="shared" si="3"/>
        <v>8820</v>
      </c>
      <c r="M15" s="33">
        <f t="shared" si="4"/>
        <v>10353004</v>
      </c>
      <c r="N15" s="33">
        <f t="shared" si="5"/>
        <v>21128580</v>
      </c>
      <c r="O15" s="29"/>
    </row>
    <row r="16" spans="1:15" s="3" customFormat="1" x14ac:dyDescent="0.2">
      <c r="B16" s="69" t="s">
        <v>76</v>
      </c>
      <c r="C16" s="70"/>
      <c r="D16" s="71"/>
      <c r="E16" s="71"/>
      <c r="F16" s="71"/>
      <c r="G16" s="71"/>
      <c r="H16" s="72"/>
      <c r="I16" s="44"/>
      <c r="J16" s="44"/>
      <c r="K16" s="45"/>
      <c r="L16" s="45"/>
      <c r="M16" s="45"/>
      <c r="N16" s="45"/>
      <c r="O16" s="29"/>
    </row>
    <row r="17" spans="2:15" s="3" customFormat="1" x14ac:dyDescent="0.2">
      <c r="B17" s="52" t="s">
        <v>43</v>
      </c>
      <c r="C17" s="35">
        <f>Area!E15</f>
        <v>969.06</v>
      </c>
      <c r="D17" s="22">
        <v>2007</v>
      </c>
      <c r="E17" s="22">
        <v>2007</v>
      </c>
      <c r="F17" s="22">
        <v>2024</v>
      </c>
      <c r="G17" s="22">
        <v>60</v>
      </c>
      <c r="H17" s="39">
        <v>18000</v>
      </c>
      <c r="I17" s="30">
        <f>F17-E17</f>
        <v>17</v>
      </c>
      <c r="J17" s="30">
        <f t="shared" si="1"/>
        <v>25.5</v>
      </c>
      <c r="K17" s="33">
        <f t="shared" si="2"/>
        <v>4590</v>
      </c>
      <c r="L17" s="33">
        <f t="shared" si="3"/>
        <v>13410</v>
      </c>
      <c r="M17" s="33">
        <f>ROUND((L17*C17),0)</f>
        <v>12995095</v>
      </c>
      <c r="N17" s="33">
        <f>ROUND((C17*H17),0)</f>
        <v>17443080</v>
      </c>
      <c r="O17" s="29"/>
    </row>
    <row r="18" spans="2:15" s="3" customFormat="1" x14ac:dyDescent="0.2">
      <c r="B18" s="52" t="s">
        <v>41</v>
      </c>
      <c r="C18" s="35">
        <f>Area!E16</f>
        <v>969.06</v>
      </c>
      <c r="D18" s="22">
        <v>2007</v>
      </c>
      <c r="E18" s="22">
        <v>2007</v>
      </c>
      <c r="F18" s="22">
        <v>2024</v>
      </c>
      <c r="G18" s="22">
        <v>60</v>
      </c>
      <c r="H18" s="39">
        <v>18000</v>
      </c>
      <c r="I18" s="30">
        <f>F18-E18</f>
        <v>17</v>
      </c>
      <c r="J18" s="30">
        <f t="shared" si="1"/>
        <v>25.5</v>
      </c>
      <c r="K18" s="33">
        <f t="shared" si="2"/>
        <v>4590</v>
      </c>
      <c r="L18" s="33">
        <f t="shared" si="3"/>
        <v>13410</v>
      </c>
      <c r="M18" s="33">
        <f>ROUND((L18*C18),0)</f>
        <v>12995095</v>
      </c>
      <c r="N18" s="33">
        <f>ROUND((C18*H18),0)</f>
        <v>17443080</v>
      </c>
      <c r="O18" s="29"/>
    </row>
    <row r="19" spans="2:15" s="3" customFormat="1" x14ac:dyDescent="0.2">
      <c r="B19" s="52" t="s">
        <v>42</v>
      </c>
      <c r="C19" s="35">
        <f>Area!E17</f>
        <v>969.06</v>
      </c>
      <c r="D19" s="22">
        <v>2007</v>
      </c>
      <c r="E19" s="22">
        <v>2007</v>
      </c>
      <c r="F19" s="22">
        <v>2024</v>
      </c>
      <c r="G19" s="22">
        <v>60</v>
      </c>
      <c r="H19" s="39">
        <v>18000</v>
      </c>
      <c r="I19" s="30">
        <f>F19-E19</f>
        <v>17</v>
      </c>
      <c r="J19" s="30">
        <f t="shared" ref="J19" si="9">IF(I19&gt;=5,90*I19/G19,0)</f>
        <v>25.5</v>
      </c>
      <c r="K19" s="33">
        <f t="shared" ref="K19" si="10">H19/100*J19</f>
        <v>4590</v>
      </c>
      <c r="L19" s="33">
        <f t="shared" ref="L19" si="11">ROUND((H19-K19),0)</f>
        <v>13410</v>
      </c>
      <c r="M19" s="33">
        <f>ROUND((L19*C19),0)</f>
        <v>12995095</v>
      </c>
      <c r="N19" s="33">
        <f>ROUND((C19*H19),0)</f>
        <v>17443080</v>
      </c>
      <c r="O19" s="29"/>
    </row>
    <row r="20" spans="2:15" s="3" customFormat="1" x14ac:dyDescent="0.2">
      <c r="B20" s="52" t="s">
        <v>74</v>
      </c>
      <c r="C20" s="35">
        <f>Area!E18</f>
        <v>969.06</v>
      </c>
      <c r="D20" s="22">
        <v>2007</v>
      </c>
      <c r="E20" s="22">
        <v>2007</v>
      </c>
      <c r="F20" s="22">
        <v>2024</v>
      </c>
      <c r="G20" s="22">
        <v>60</v>
      </c>
      <c r="H20" s="39">
        <v>18000</v>
      </c>
      <c r="I20" s="30">
        <f>F20-E20</f>
        <v>17</v>
      </c>
      <c r="J20" s="30">
        <f t="shared" si="1"/>
        <v>25.5</v>
      </c>
      <c r="K20" s="33">
        <f t="shared" si="2"/>
        <v>4590</v>
      </c>
      <c r="L20" s="33">
        <f t="shared" si="3"/>
        <v>13410</v>
      </c>
      <c r="M20" s="33">
        <f>ROUND((L20*C20),0)</f>
        <v>12995095</v>
      </c>
      <c r="N20" s="33">
        <f>ROUND((C20*H20),0)</f>
        <v>17443080</v>
      </c>
      <c r="O20" s="29"/>
    </row>
    <row r="21" spans="2:15" s="3" customFormat="1" x14ac:dyDescent="0.2">
      <c r="B21" s="69" t="s">
        <v>75</v>
      </c>
      <c r="C21" s="35"/>
      <c r="D21" s="71"/>
      <c r="E21" s="71"/>
      <c r="F21" s="71"/>
      <c r="G21" s="71"/>
      <c r="H21" s="72"/>
      <c r="I21" s="44"/>
      <c r="J21" s="44"/>
      <c r="K21" s="45"/>
      <c r="L21" s="45"/>
      <c r="M21" s="45"/>
      <c r="N21" s="45"/>
      <c r="O21" s="29"/>
    </row>
    <row r="22" spans="2:15" s="3" customFormat="1" x14ac:dyDescent="0.3">
      <c r="B22" s="52" t="s">
        <v>43</v>
      </c>
      <c r="C22" s="76">
        <f>Area!E19</f>
        <v>238.39</v>
      </c>
      <c r="D22" s="22">
        <v>2017</v>
      </c>
      <c r="E22" s="22">
        <v>2017</v>
      </c>
      <c r="F22" s="22">
        <v>2024</v>
      </c>
      <c r="G22" s="22">
        <v>60</v>
      </c>
      <c r="H22" s="39">
        <v>18000</v>
      </c>
      <c r="I22" s="30">
        <f>F22-E22</f>
        <v>7</v>
      </c>
      <c r="J22" s="30">
        <f t="shared" si="1"/>
        <v>10.5</v>
      </c>
      <c r="K22" s="33">
        <f t="shared" si="2"/>
        <v>1890</v>
      </c>
      <c r="L22" s="33">
        <f t="shared" si="3"/>
        <v>16110</v>
      </c>
      <c r="M22" s="33">
        <f>ROUND((L22*C22),0)</f>
        <v>3840463</v>
      </c>
      <c r="N22" s="33">
        <f>ROUND((C22*H22),0)</f>
        <v>4291020</v>
      </c>
      <c r="O22" s="29"/>
    </row>
    <row r="23" spans="2:15" s="3" customFormat="1" x14ac:dyDescent="0.3">
      <c r="B23" s="52" t="s">
        <v>41</v>
      </c>
      <c r="C23" s="76">
        <f>Area!E20</f>
        <v>131.16</v>
      </c>
      <c r="D23" s="22">
        <v>2017</v>
      </c>
      <c r="E23" s="22">
        <v>2017</v>
      </c>
      <c r="F23" s="22">
        <v>2024</v>
      </c>
      <c r="G23" s="22">
        <v>60</v>
      </c>
      <c r="H23" s="39">
        <v>18000</v>
      </c>
      <c r="I23" s="30">
        <f>F23-E23</f>
        <v>7</v>
      </c>
      <c r="J23" s="30">
        <f t="shared" si="1"/>
        <v>10.5</v>
      </c>
      <c r="K23" s="33">
        <f t="shared" si="2"/>
        <v>1890</v>
      </c>
      <c r="L23" s="33">
        <f t="shared" si="3"/>
        <v>16110</v>
      </c>
      <c r="M23" s="33">
        <f>ROUND((L23*C23),0)</f>
        <v>2112988</v>
      </c>
      <c r="N23" s="33">
        <f>ROUND((C23*H23),0)</f>
        <v>2360880</v>
      </c>
      <c r="O23" s="29"/>
    </row>
    <row r="24" spans="2:15" s="3" customFormat="1" x14ac:dyDescent="0.3">
      <c r="B24" s="52" t="s">
        <v>42</v>
      </c>
      <c r="C24" s="76">
        <f>Area!E21</f>
        <v>189.52</v>
      </c>
      <c r="D24" s="22">
        <v>2017</v>
      </c>
      <c r="E24" s="22">
        <v>2017</v>
      </c>
      <c r="F24" s="22">
        <v>2024</v>
      </c>
      <c r="G24" s="22">
        <v>60</v>
      </c>
      <c r="H24" s="39">
        <v>18000</v>
      </c>
      <c r="I24" s="30">
        <f t="shared" ref="I24:I26" si="12">F24-E24</f>
        <v>7</v>
      </c>
      <c r="J24" s="30">
        <f t="shared" ref="J24:J26" si="13">IF(I24&gt;=5,90*I24/G24,0)</f>
        <v>10.5</v>
      </c>
      <c r="K24" s="33">
        <f t="shared" ref="K24:K26" si="14">H24/100*J24</f>
        <v>1890</v>
      </c>
      <c r="L24" s="33">
        <f t="shared" ref="L24:L26" si="15">ROUND((H24-K24),0)</f>
        <v>16110</v>
      </c>
      <c r="M24" s="33">
        <f t="shared" ref="M24:M26" si="16">ROUND((L24*C24),0)</f>
        <v>3053167</v>
      </c>
      <c r="N24" s="33">
        <f t="shared" ref="N24:N26" si="17">ROUND((C24*H24),0)</f>
        <v>3411360</v>
      </c>
      <c r="O24" s="29"/>
    </row>
    <row r="25" spans="2:15" s="3" customFormat="1" x14ac:dyDescent="0.3">
      <c r="B25" s="69" t="s">
        <v>88</v>
      </c>
      <c r="C25" s="76">
        <f>Area!E22</f>
        <v>668.86</v>
      </c>
      <c r="D25" s="22">
        <v>1990</v>
      </c>
      <c r="E25" s="22">
        <v>1990</v>
      </c>
      <c r="F25" s="22">
        <v>2024</v>
      </c>
      <c r="G25" s="22">
        <v>60</v>
      </c>
      <c r="H25" s="39">
        <v>12000</v>
      </c>
      <c r="I25" s="30">
        <f t="shared" si="12"/>
        <v>34</v>
      </c>
      <c r="J25" s="30">
        <f t="shared" si="13"/>
        <v>51</v>
      </c>
      <c r="K25" s="33">
        <f t="shared" si="14"/>
        <v>6120</v>
      </c>
      <c r="L25" s="33">
        <f t="shared" si="15"/>
        <v>5880</v>
      </c>
      <c r="M25" s="33">
        <f t="shared" si="16"/>
        <v>3932897</v>
      </c>
      <c r="N25" s="33">
        <f t="shared" si="17"/>
        <v>8026320</v>
      </c>
      <c r="O25" s="29"/>
    </row>
    <row r="26" spans="2:15" s="3" customFormat="1" x14ac:dyDescent="0.3">
      <c r="B26" s="69" t="s">
        <v>89</v>
      </c>
      <c r="C26" s="75">
        <f>Area!E23</f>
        <v>122</v>
      </c>
      <c r="D26" s="22">
        <v>1990</v>
      </c>
      <c r="E26" s="22">
        <v>1990</v>
      </c>
      <c r="F26" s="22">
        <v>2024</v>
      </c>
      <c r="G26" s="22">
        <v>60</v>
      </c>
      <c r="H26" s="39">
        <v>18000</v>
      </c>
      <c r="I26" s="30">
        <f t="shared" si="12"/>
        <v>34</v>
      </c>
      <c r="J26" s="30">
        <f t="shared" si="13"/>
        <v>51</v>
      </c>
      <c r="K26" s="33">
        <f t="shared" si="14"/>
        <v>9180</v>
      </c>
      <c r="L26" s="33">
        <f t="shared" si="15"/>
        <v>8820</v>
      </c>
      <c r="M26" s="33">
        <f t="shared" si="16"/>
        <v>1076040</v>
      </c>
      <c r="N26" s="33">
        <f t="shared" si="17"/>
        <v>2196000</v>
      </c>
      <c r="O26" s="29"/>
    </row>
    <row r="27" spans="2:15" s="40" customFormat="1" x14ac:dyDescent="0.3">
      <c r="B27" s="47" t="s">
        <v>20</v>
      </c>
      <c r="C27" s="41">
        <f>SUM(C9:C26)</f>
        <v>13344.499999999998</v>
      </c>
      <c r="D27" s="42"/>
      <c r="E27" s="42"/>
      <c r="F27" s="42"/>
      <c r="G27" s="42"/>
      <c r="H27" s="43"/>
      <c r="I27" s="44"/>
      <c r="J27" s="44"/>
      <c r="K27" s="45"/>
      <c r="L27" s="45"/>
      <c r="M27" s="41">
        <f>SUM(M9:M26)</f>
        <v>130435266</v>
      </c>
      <c r="N27" s="41">
        <f>SUM(N9:N26)</f>
        <v>221566740</v>
      </c>
      <c r="O27" s="46"/>
    </row>
    <row r="28" spans="2:15" x14ac:dyDescent="0.3">
      <c r="B28" s="7"/>
      <c r="C28" s="36"/>
      <c r="D28" s="36"/>
      <c r="E28" s="53"/>
      <c r="F28" s="26"/>
      <c r="G28" s="26"/>
      <c r="H28" s="27"/>
      <c r="I28" s="31"/>
      <c r="J28" s="31"/>
      <c r="K28" s="21"/>
      <c r="L28" s="21"/>
      <c r="M28" s="21"/>
      <c r="N28" s="21"/>
      <c r="O28" s="31"/>
    </row>
    <row r="29" spans="2:15" x14ac:dyDescent="0.3">
      <c r="B29" s="7"/>
      <c r="C29" s="37"/>
      <c r="D29" s="37"/>
      <c r="E29" s="8"/>
      <c r="F29" s="8"/>
      <c r="G29" s="9"/>
      <c r="H29" s="9"/>
      <c r="I29" s="9"/>
      <c r="J29" s="8"/>
      <c r="K29" s="12"/>
      <c r="L29" s="13"/>
      <c r="M29" s="21"/>
      <c r="N29" s="21"/>
      <c r="O29" s="9"/>
    </row>
    <row r="30" spans="2:15" x14ac:dyDescent="0.3">
      <c r="B30" s="100" t="s">
        <v>47</v>
      </c>
      <c r="C30" s="100"/>
      <c r="D30" s="6"/>
      <c r="E30" s="8"/>
      <c r="F30" s="8"/>
      <c r="G30" s="9"/>
      <c r="H30" s="9"/>
      <c r="I30" s="9"/>
      <c r="J30" s="8"/>
      <c r="K30" s="12"/>
      <c r="L30" s="13"/>
      <c r="M30" s="21"/>
      <c r="N30" s="21"/>
      <c r="O30" s="9"/>
    </row>
    <row r="31" spans="2:15" x14ac:dyDescent="0.3">
      <c r="B31" s="19" t="s">
        <v>48</v>
      </c>
      <c r="C31" s="79">
        <v>0</v>
      </c>
      <c r="D31" s="94"/>
      <c r="E31" s="8"/>
      <c r="F31" s="8"/>
      <c r="G31" s="9"/>
      <c r="H31" s="9"/>
      <c r="I31" s="9"/>
      <c r="J31" s="8"/>
      <c r="K31" s="12"/>
      <c r="L31" s="13"/>
      <c r="M31" s="21"/>
      <c r="N31" s="21"/>
      <c r="O31" s="9"/>
    </row>
    <row r="32" spans="2:15" x14ac:dyDescent="0.3">
      <c r="B32" s="78" t="s">
        <v>8</v>
      </c>
      <c r="C32" s="80">
        <v>0</v>
      </c>
      <c r="D32" s="95"/>
      <c r="E32" s="8"/>
      <c r="F32" s="8"/>
      <c r="G32" s="9"/>
      <c r="H32" s="9"/>
      <c r="I32" s="9"/>
      <c r="J32" s="8"/>
      <c r="K32" s="12"/>
      <c r="L32" s="13"/>
      <c r="M32" s="21"/>
      <c r="N32" s="21"/>
      <c r="O32" s="9"/>
    </row>
    <row r="33" spans="2:15" x14ac:dyDescent="0.3">
      <c r="B33" s="78" t="s">
        <v>9</v>
      </c>
      <c r="C33" s="79">
        <f>ROUND((C31*C32),0)</f>
        <v>0</v>
      </c>
      <c r="D33" s="94"/>
      <c r="E33" s="8"/>
      <c r="F33" s="8"/>
      <c r="G33" s="9"/>
      <c r="H33" s="9"/>
      <c r="I33" s="9"/>
      <c r="J33" s="8"/>
      <c r="K33" s="12"/>
      <c r="L33" s="13"/>
      <c r="M33" s="21"/>
      <c r="N33" s="21"/>
      <c r="O33" s="9"/>
    </row>
    <row r="34" spans="2:15" x14ac:dyDescent="0.3">
      <c r="B34" s="7"/>
      <c r="C34" s="81"/>
      <c r="D34" s="81"/>
      <c r="E34" s="8"/>
      <c r="F34" s="8"/>
      <c r="G34" s="9"/>
      <c r="H34" s="9"/>
      <c r="I34" s="9"/>
      <c r="J34" s="8"/>
      <c r="K34" s="12"/>
      <c r="L34" s="13"/>
      <c r="M34" s="21"/>
      <c r="N34" s="21"/>
      <c r="O34" s="9"/>
    </row>
    <row r="35" spans="2:15" x14ac:dyDescent="0.3">
      <c r="B35" s="101" t="s">
        <v>49</v>
      </c>
      <c r="C35" s="102"/>
      <c r="D35" s="96"/>
      <c r="E35" s="8"/>
      <c r="F35" s="8"/>
      <c r="G35" s="9"/>
      <c r="H35" s="9"/>
      <c r="I35" s="9"/>
      <c r="J35" s="8"/>
      <c r="K35" s="12"/>
      <c r="L35" s="13"/>
      <c r="M35" s="21"/>
      <c r="N35" s="21"/>
      <c r="O35" s="9"/>
    </row>
    <row r="36" spans="2:15" x14ac:dyDescent="0.3">
      <c r="B36" s="19" t="s">
        <v>50</v>
      </c>
      <c r="C36" s="79">
        <v>0</v>
      </c>
      <c r="D36" s="94"/>
      <c r="E36" s="8"/>
      <c r="F36" s="8"/>
      <c r="G36" s="9"/>
      <c r="H36" s="9"/>
      <c r="I36" s="9"/>
      <c r="J36" s="8"/>
      <c r="K36" s="12"/>
      <c r="L36" s="13"/>
      <c r="M36" s="21"/>
      <c r="N36" s="21"/>
      <c r="O36" s="9"/>
    </row>
    <row r="37" spans="2:15" x14ac:dyDescent="0.3">
      <c r="B37" s="78" t="s">
        <v>8</v>
      </c>
      <c r="C37" s="80">
        <v>0</v>
      </c>
      <c r="D37" s="95"/>
      <c r="E37" s="8"/>
      <c r="F37" s="8"/>
      <c r="G37" s="9"/>
      <c r="H37" s="9"/>
      <c r="I37" s="9"/>
      <c r="J37" s="8"/>
      <c r="K37" s="12"/>
      <c r="L37" s="13"/>
      <c r="M37" s="21"/>
      <c r="N37" s="21"/>
      <c r="O37" s="9"/>
    </row>
    <row r="38" spans="2:15" x14ac:dyDescent="0.3">
      <c r="B38" s="78" t="s">
        <v>9</v>
      </c>
      <c r="C38" s="82">
        <f>ROUND((C36*C37),0)</f>
        <v>0</v>
      </c>
      <c r="D38" s="97"/>
      <c r="E38" s="8"/>
      <c r="F38" s="8"/>
      <c r="G38" s="9"/>
      <c r="H38" s="9"/>
      <c r="I38" s="9"/>
      <c r="J38" s="8"/>
      <c r="K38" s="12"/>
      <c r="L38" s="13"/>
      <c r="M38" s="21"/>
      <c r="N38" s="21"/>
      <c r="O38" s="9"/>
    </row>
    <row r="39" spans="2:15" x14ac:dyDescent="0.3">
      <c r="B39" s="7"/>
      <c r="C39" s="37"/>
      <c r="D39" s="37"/>
      <c r="E39" s="8"/>
      <c r="F39" s="8"/>
      <c r="G39" s="9"/>
      <c r="H39" s="9"/>
      <c r="I39" s="9"/>
      <c r="J39" s="8"/>
      <c r="K39" s="12"/>
      <c r="L39" s="13"/>
      <c r="M39" s="21"/>
      <c r="N39" s="21"/>
      <c r="O39" s="9"/>
    </row>
    <row r="40" spans="2:15" x14ac:dyDescent="0.3">
      <c r="B40" s="7"/>
      <c r="C40" s="37"/>
      <c r="D40" s="37"/>
      <c r="E40" s="8"/>
      <c r="F40" s="8"/>
      <c r="G40" s="9"/>
      <c r="H40" s="9"/>
      <c r="I40" s="9"/>
      <c r="J40" s="8"/>
      <c r="K40" s="12"/>
      <c r="L40" s="13"/>
      <c r="M40" s="21"/>
      <c r="N40" s="21"/>
      <c r="O40" s="9"/>
    </row>
    <row r="41" spans="2:15" x14ac:dyDescent="0.3">
      <c r="C41" s="38"/>
      <c r="D41" s="38"/>
      <c r="E41" s="6"/>
      <c r="F41" s="17"/>
      <c r="H41" s="11"/>
      <c r="I41" s="1"/>
      <c r="J41" s="5"/>
      <c r="K41" s="17"/>
      <c r="L41" s="5"/>
      <c r="O41" s="1"/>
    </row>
    <row r="42" spans="2:15" x14ac:dyDescent="0.3">
      <c r="B42" s="76" t="s">
        <v>13</v>
      </c>
      <c r="C42" s="89">
        <f>C4</f>
        <v>223941030</v>
      </c>
      <c r="D42" s="98"/>
      <c r="E42" s="54"/>
      <c r="F42" s="15"/>
      <c r="G42" s="15"/>
      <c r="H42" s="16"/>
      <c r="I42" s="1"/>
      <c r="J42" s="5"/>
      <c r="K42" s="14"/>
      <c r="L42" s="5"/>
      <c r="O42" s="1"/>
    </row>
    <row r="43" spans="2:15" x14ac:dyDescent="0.3">
      <c r="B43" s="76" t="s">
        <v>14</v>
      </c>
      <c r="C43" s="89">
        <f>M27</f>
        <v>130435266</v>
      </c>
      <c r="D43" s="98"/>
      <c r="E43" s="54"/>
      <c r="F43" s="15"/>
      <c r="G43" s="15"/>
      <c r="H43" s="16"/>
      <c r="I43" s="1"/>
      <c r="J43" s="5"/>
      <c r="K43" s="16"/>
      <c r="L43" s="5"/>
      <c r="O43" s="1"/>
    </row>
    <row r="44" spans="2:15" ht="33" x14ac:dyDescent="0.3">
      <c r="B44" s="76" t="s">
        <v>19</v>
      </c>
      <c r="C44" s="89">
        <f>C33</f>
        <v>0</v>
      </c>
      <c r="D44" s="98"/>
      <c r="E44" s="15"/>
      <c r="F44" s="15"/>
      <c r="G44" s="15"/>
      <c r="H44" s="16"/>
      <c r="I44" s="1"/>
      <c r="J44" s="5"/>
      <c r="K44" s="16"/>
      <c r="L44" s="5"/>
      <c r="O44" s="1"/>
    </row>
    <row r="45" spans="2:15" x14ac:dyDescent="0.3">
      <c r="B45" s="76" t="s">
        <v>12</v>
      </c>
      <c r="C45" s="89">
        <f>C38</f>
        <v>0</v>
      </c>
      <c r="D45" s="98"/>
      <c r="E45" s="88" t="s">
        <v>59</v>
      </c>
      <c r="F45" s="15"/>
      <c r="G45" s="15"/>
      <c r="H45" s="16"/>
      <c r="I45" s="1"/>
      <c r="J45" s="5"/>
      <c r="K45" s="16"/>
      <c r="L45" s="5"/>
      <c r="O45" s="1"/>
    </row>
    <row r="46" spans="2:15" x14ac:dyDescent="0.3">
      <c r="B46" s="90" t="s">
        <v>28</v>
      </c>
      <c r="C46" s="86">
        <f>C42+C43+C44+C45</f>
        <v>354376296</v>
      </c>
      <c r="D46" s="93"/>
      <c r="E46" s="50">
        <v>356333795</v>
      </c>
      <c r="F46" s="87">
        <f>C46/E46</f>
        <v>0.99450655809954824</v>
      </c>
      <c r="I46" s="1"/>
      <c r="J46" s="5"/>
      <c r="K46" s="1"/>
      <c r="L46" s="5"/>
      <c r="O46" s="1"/>
    </row>
    <row r="47" spans="2:15" x14ac:dyDescent="0.3">
      <c r="B47" s="90" t="s">
        <v>10</v>
      </c>
      <c r="C47" s="86">
        <f>ROUND((C46*0.9),0)</f>
        <v>318938666</v>
      </c>
      <c r="D47" s="93"/>
      <c r="E47" s="50">
        <f>E46*0.9</f>
        <v>320700415.5</v>
      </c>
      <c r="F47" s="14"/>
      <c r="H47" s="23"/>
      <c r="I47" s="1"/>
      <c r="J47" s="5"/>
      <c r="K47" s="1"/>
      <c r="L47" s="5"/>
      <c r="O47" s="1"/>
    </row>
    <row r="48" spans="2:15" x14ac:dyDescent="0.3">
      <c r="B48" s="90" t="s">
        <v>11</v>
      </c>
      <c r="C48" s="86">
        <f>ROUND((C46*0.8),0)</f>
        <v>283501037</v>
      </c>
      <c r="D48" s="93"/>
      <c r="E48" s="50">
        <f>E46*0.6</f>
        <v>213800277</v>
      </c>
      <c r="F48" s="14"/>
      <c r="H48" s="23"/>
      <c r="I48" s="1"/>
      <c r="J48" s="5"/>
      <c r="K48" s="1"/>
      <c r="L48" s="5"/>
      <c r="O48" s="1"/>
    </row>
    <row r="49" spans="2:15" x14ac:dyDescent="0.3">
      <c r="B49" s="90" t="s">
        <v>15</v>
      </c>
      <c r="C49" s="86">
        <f>ROUND((N27*0.9),0)</f>
        <v>199410066</v>
      </c>
      <c r="D49" s="93"/>
      <c r="E49" s="50"/>
      <c r="F49" s="5"/>
      <c r="I49" s="1"/>
      <c r="J49" s="5"/>
      <c r="K49" s="1"/>
      <c r="L49" s="5"/>
      <c r="M49" s="24"/>
      <c r="O49" s="1"/>
    </row>
    <row r="50" spans="2:15" x14ac:dyDescent="0.3">
      <c r="B50" s="90" t="s">
        <v>62</v>
      </c>
      <c r="C50" s="86">
        <f>D4+M27</f>
        <v>162965647.19999999</v>
      </c>
      <c r="D50" s="93"/>
      <c r="N50" s="24"/>
    </row>
    <row r="51" spans="2:15" x14ac:dyDescent="0.3">
      <c r="N51" s="24"/>
    </row>
    <row r="52" spans="2:15" x14ac:dyDescent="0.3">
      <c r="L52" s="25"/>
      <c r="N52" s="24"/>
    </row>
    <row r="53" spans="2:15" x14ac:dyDescent="0.3">
      <c r="L53" s="25"/>
      <c r="N53" s="24"/>
    </row>
    <row r="54" spans="2:15" x14ac:dyDescent="0.3">
      <c r="I54" s="23"/>
      <c r="L54" s="25"/>
      <c r="N54" s="24"/>
    </row>
    <row r="55" spans="2:15" x14ac:dyDescent="0.3">
      <c r="L55" s="25"/>
      <c r="N55" s="24"/>
    </row>
    <row r="56" spans="2:15" x14ac:dyDescent="0.3">
      <c r="L56" s="25"/>
      <c r="N56" s="24"/>
    </row>
    <row r="57" spans="2:15" x14ac:dyDescent="0.3">
      <c r="L57" s="25"/>
      <c r="N57" s="24"/>
    </row>
    <row r="58" spans="2:15" x14ac:dyDescent="0.3">
      <c r="L58" s="25"/>
      <c r="N58" s="24"/>
    </row>
  </sheetData>
  <mergeCells count="2">
    <mergeCell ref="B30:C30"/>
    <mergeCell ref="B35:C3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525C9-2E2C-4533-9E1D-089D568A28C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9AB4D-FF03-4242-B95E-DF90669DC63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47D07-84C0-448F-9A35-D1F1EA81DFCB}">
  <sheetPr>
    <pageSetUpPr fitToPage="1"/>
  </sheetPr>
  <dimension ref="A1:O58"/>
  <sheetViews>
    <sheetView tabSelected="1" workbookViewId="0">
      <pane xSplit="3" ySplit="7" topLeftCell="D8" activePane="bottomRight" state="frozen"/>
      <selection pane="topRight" activeCell="E1" sqref="E1"/>
      <selection pane="bottomLeft" activeCell="A7" sqref="A7"/>
      <selection pane="bottomRight" activeCell="D45" sqref="D45:G52"/>
    </sheetView>
  </sheetViews>
  <sheetFormatPr defaultColWidth="9.140625" defaultRowHeight="16.5" x14ac:dyDescent="0.3"/>
  <cols>
    <col min="1" max="1" width="9.140625" style="1"/>
    <col min="2" max="2" width="19.42578125" style="2" customWidth="1"/>
    <col min="3" max="3" width="16.42578125" style="28" bestFit="1" customWidth="1"/>
    <col min="4" max="4" width="14" style="28" bestFit="1" customWidth="1"/>
    <col min="5" max="5" width="15" style="1" bestFit="1" customWidth="1"/>
    <col min="6" max="6" width="9.7109375" style="1" bestFit="1" customWidth="1"/>
    <col min="7" max="7" width="8.140625" style="5" customWidth="1"/>
    <col min="8" max="8" width="9.7109375" style="5" bestFit="1" customWidth="1"/>
    <col min="9" max="9" width="6" style="5" bestFit="1" customWidth="1"/>
    <col min="10" max="10" width="13.85546875" style="1" bestFit="1" customWidth="1"/>
    <col min="11" max="11" width="10" style="5" bestFit="1" customWidth="1"/>
    <col min="12" max="12" width="14.140625" style="1" bestFit="1" customWidth="1"/>
    <col min="13" max="14" width="16" style="5" bestFit="1" customWidth="1"/>
    <col min="15" max="15" width="13.28515625" style="5" bestFit="1" customWidth="1"/>
    <col min="16" max="16384" width="9.140625" style="1"/>
  </cols>
  <sheetData>
    <row r="1" spans="1:15" x14ac:dyDescent="0.3">
      <c r="B1" s="10" t="s">
        <v>13</v>
      </c>
      <c r="H1" s="1"/>
      <c r="J1" s="5"/>
      <c r="M1" s="1"/>
      <c r="N1" s="1"/>
      <c r="O1" s="1"/>
    </row>
    <row r="2" spans="1:15" x14ac:dyDescent="0.3">
      <c r="B2" s="19" t="s">
        <v>27</v>
      </c>
      <c r="C2" s="77">
        <f>Area!$E$6</f>
        <v>23572.74</v>
      </c>
      <c r="D2" s="74" t="s">
        <v>29</v>
      </c>
      <c r="F2" s="5"/>
      <c r="G2" s="1"/>
      <c r="J2" s="5"/>
      <c r="K2" s="1"/>
      <c r="M2" s="1"/>
      <c r="N2" s="1"/>
      <c r="O2" s="1"/>
    </row>
    <row r="3" spans="1:15" x14ac:dyDescent="0.3">
      <c r="A3" s="18"/>
      <c r="B3" s="32" t="s">
        <v>8</v>
      </c>
      <c r="C3" s="33">
        <v>9500</v>
      </c>
      <c r="D3" s="20">
        <v>1380</v>
      </c>
      <c r="E3" s="55"/>
      <c r="F3" s="5"/>
      <c r="G3" s="1"/>
      <c r="J3" s="5"/>
      <c r="K3" s="1"/>
      <c r="M3" s="1"/>
      <c r="N3" s="1"/>
      <c r="O3" s="1"/>
    </row>
    <row r="4" spans="1:15" x14ac:dyDescent="0.3">
      <c r="A4" s="18"/>
      <c r="B4" s="85" t="s">
        <v>18</v>
      </c>
      <c r="C4" s="86">
        <f>ROUND((C2*C3),0)</f>
        <v>223941030</v>
      </c>
      <c r="D4" s="86">
        <f>D3*C2</f>
        <v>32530381.200000003</v>
      </c>
      <c r="F4" s="99"/>
      <c r="G4" s="1"/>
      <c r="J4" s="5"/>
      <c r="K4" s="1"/>
      <c r="M4" s="1"/>
      <c r="N4" s="1"/>
      <c r="O4" s="1"/>
    </row>
    <row r="5" spans="1:15" x14ac:dyDescent="0.3">
      <c r="A5" s="18"/>
      <c r="B5" s="48"/>
      <c r="C5" s="49"/>
      <c r="D5" s="49"/>
      <c r="E5" s="49"/>
      <c r="H5" s="1"/>
      <c r="J5" s="5"/>
      <c r="M5" s="1"/>
      <c r="N5" s="1"/>
      <c r="O5" s="1"/>
    </row>
    <row r="6" spans="1:15" x14ac:dyDescent="0.3">
      <c r="B6" s="10" t="s">
        <v>14</v>
      </c>
      <c r="H6" s="18"/>
      <c r="I6" s="18"/>
      <c r="J6" s="18"/>
      <c r="K6" s="18"/>
      <c r="L6" s="18"/>
      <c r="M6" s="18"/>
      <c r="N6" s="18"/>
      <c r="O6" s="18"/>
    </row>
    <row r="7" spans="1:15" s="3" customFormat="1" ht="38.25" x14ac:dyDescent="0.2">
      <c r="B7" s="4" t="s">
        <v>0</v>
      </c>
      <c r="C7" s="34" t="s">
        <v>52</v>
      </c>
      <c r="D7" s="4" t="s">
        <v>85</v>
      </c>
      <c r="E7" s="4" t="s">
        <v>82</v>
      </c>
      <c r="F7" s="4" t="s">
        <v>2</v>
      </c>
      <c r="G7" s="4" t="s">
        <v>3</v>
      </c>
      <c r="H7" s="4" t="s">
        <v>7</v>
      </c>
      <c r="I7" s="4" t="s">
        <v>1</v>
      </c>
      <c r="J7" s="4" t="s">
        <v>4</v>
      </c>
      <c r="K7" s="4" t="s">
        <v>5</v>
      </c>
      <c r="L7" s="4" t="s">
        <v>16</v>
      </c>
      <c r="M7" s="4" t="s">
        <v>17</v>
      </c>
      <c r="N7" s="4" t="s">
        <v>6</v>
      </c>
      <c r="O7" s="29"/>
    </row>
    <row r="8" spans="1:15" s="3" customFormat="1" ht="12.75" x14ac:dyDescent="0.2">
      <c r="B8" s="4"/>
      <c r="C8" s="34" t="s">
        <v>51</v>
      </c>
      <c r="D8" s="4" t="s">
        <v>53</v>
      </c>
      <c r="E8" s="4" t="s">
        <v>53</v>
      </c>
      <c r="F8" s="4"/>
      <c r="G8" s="4" t="s">
        <v>53</v>
      </c>
      <c r="H8" s="4" t="s">
        <v>54</v>
      </c>
      <c r="I8" s="4"/>
      <c r="J8" s="4"/>
      <c r="K8" s="4"/>
      <c r="L8" s="4" t="s">
        <v>54</v>
      </c>
      <c r="M8" s="4" t="s">
        <v>54</v>
      </c>
      <c r="N8" s="4" t="s">
        <v>54</v>
      </c>
      <c r="O8" s="29"/>
    </row>
    <row r="9" spans="1:15" s="3" customFormat="1" x14ac:dyDescent="0.2">
      <c r="B9" s="69" t="s">
        <v>83</v>
      </c>
      <c r="C9" s="70"/>
      <c r="D9" s="70"/>
      <c r="E9" s="71"/>
      <c r="F9" s="71"/>
      <c r="G9" s="71"/>
      <c r="H9" s="72"/>
      <c r="I9" s="44"/>
      <c r="J9" s="44"/>
      <c r="K9" s="45"/>
      <c r="L9" s="45"/>
      <c r="M9" s="45"/>
      <c r="N9" s="45"/>
      <c r="O9" s="29"/>
    </row>
    <row r="10" spans="1:15" s="3" customFormat="1" x14ac:dyDescent="0.2">
      <c r="B10" s="52" t="s">
        <v>40</v>
      </c>
      <c r="C10" s="35">
        <f>Area!E9</f>
        <v>1017.42</v>
      </c>
      <c r="D10" s="22">
        <v>1990</v>
      </c>
      <c r="E10" s="22">
        <v>1990</v>
      </c>
      <c r="F10" s="22">
        <v>2024</v>
      </c>
      <c r="G10" s="22">
        <v>60</v>
      </c>
      <c r="H10" s="39">
        <v>18000</v>
      </c>
      <c r="I10" s="30">
        <f t="shared" ref="I10:I15" si="0">F10-E10</f>
        <v>34</v>
      </c>
      <c r="J10" s="30">
        <f t="shared" ref="J10:J26" si="1">IF(I10&gt;=5,90*I10/G10,0)</f>
        <v>51</v>
      </c>
      <c r="K10" s="33">
        <f t="shared" ref="K10:K26" si="2">H10/100*J10</f>
        <v>9180</v>
      </c>
      <c r="L10" s="33">
        <f t="shared" ref="L10:L26" si="3">ROUND((H10-K10),0)</f>
        <v>8820</v>
      </c>
      <c r="M10" s="33">
        <f t="shared" ref="M10:M15" si="4">ROUND((L10*C10),0)</f>
        <v>8973644</v>
      </c>
      <c r="N10" s="33">
        <f t="shared" ref="N10:N15" si="5">ROUND((C10*H10),0)</f>
        <v>18313560</v>
      </c>
      <c r="O10" s="29"/>
    </row>
    <row r="11" spans="1:15" s="3" customFormat="1" x14ac:dyDescent="0.2">
      <c r="B11" s="52" t="s">
        <v>43</v>
      </c>
      <c r="C11" s="35">
        <f>Area!E10</f>
        <v>2681.85</v>
      </c>
      <c r="D11" s="22">
        <v>1990</v>
      </c>
      <c r="E11" s="22">
        <v>1990</v>
      </c>
      <c r="F11" s="22">
        <v>2024</v>
      </c>
      <c r="G11" s="22">
        <v>60</v>
      </c>
      <c r="H11" s="39">
        <v>18000</v>
      </c>
      <c r="I11" s="30">
        <f t="shared" si="0"/>
        <v>34</v>
      </c>
      <c r="J11" s="30">
        <f t="shared" si="1"/>
        <v>51</v>
      </c>
      <c r="K11" s="33">
        <f t="shared" si="2"/>
        <v>9180</v>
      </c>
      <c r="L11" s="33">
        <f t="shared" si="3"/>
        <v>8820</v>
      </c>
      <c r="M11" s="33">
        <f t="shared" si="4"/>
        <v>23653917</v>
      </c>
      <c r="N11" s="33">
        <f t="shared" si="5"/>
        <v>48273300</v>
      </c>
      <c r="O11" s="29"/>
    </row>
    <row r="12" spans="1:15" s="3" customFormat="1" x14ac:dyDescent="0.2">
      <c r="B12" s="52" t="s">
        <v>72</v>
      </c>
      <c r="C12" s="35">
        <f>Area!E11</f>
        <v>113.69</v>
      </c>
      <c r="D12" s="22">
        <v>1990</v>
      </c>
      <c r="E12" s="22">
        <v>1990</v>
      </c>
      <c r="F12" s="22">
        <v>2024</v>
      </c>
      <c r="G12" s="22">
        <v>60</v>
      </c>
      <c r="H12" s="39">
        <v>12000</v>
      </c>
      <c r="I12" s="30">
        <f t="shared" si="0"/>
        <v>34</v>
      </c>
      <c r="J12" s="30">
        <f t="shared" si="1"/>
        <v>51</v>
      </c>
      <c r="K12" s="33">
        <f t="shared" si="2"/>
        <v>6120</v>
      </c>
      <c r="L12" s="33">
        <f t="shared" si="3"/>
        <v>5880</v>
      </c>
      <c r="M12" s="33">
        <f t="shared" si="4"/>
        <v>668497</v>
      </c>
      <c r="N12" s="33">
        <f t="shared" si="5"/>
        <v>1364280</v>
      </c>
      <c r="O12" s="29"/>
    </row>
    <row r="13" spans="1:15" s="3" customFormat="1" x14ac:dyDescent="0.2">
      <c r="B13" s="52" t="s">
        <v>41</v>
      </c>
      <c r="C13" s="35">
        <f>Area!E12</f>
        <v>808.4</v>
      </c>
      <c r="D13" s="22">
        <v>1990</v>
      </c>
      <c r="E13" s="22">
        <v>1990</v>
      </c>
      <c r="F13" s="22">
        <v>2024</v>
      </c>
      <c r="G13" s="22">
        <v>60</v>
      </c>
      <c r="H13" s="39">
        <v>18000</v>
      </c>
      <c r="I13" s="30">
        <f t="shared" si="0"/>
        <v>34</v>
      </c>
      <c r="J13" s="30">
        <f t="shared" si="1"/>
        <v>51</v>
      </c>
      <c r="K13" s="33">
        <f t="shared" si="2"/>
        <v>9180</v>
      </c>
      <c r="L13" s="33">
        <f t="shared" si="3"/>
        <v>8820</v>
      </c>
      <c r="M13" s="33">
        <f t="shared" si="4"/>
        <v>7130088</v>
      </c>
      <c r="N13" s="33">
        <f t="shared" si="5"/>
        <v>14551200</v>
      </c>
      <c r="O13" s="29"/>
    </row>
    <row r="14" spans="1:15" s="3" customFormat="1" ht="33" x14ac:dyDescent="0.2">
      <c r="B14" s="52" t="s">
        <v>84</v>
      </c>
      <c r="C14" s="35">
        <f>Area!E13</f>
        <v>2323.16</v>
      </c>
      <c r="D14" s="22">
        <v>2017</v>
      </c>
      <c r="E14" s="22">
        <v>1990</v>
      </c>
      <c r="F14" s="22">
        <v>2024</v>
      </c>
      <c r="G14" s="22">
        <v>60</v>
      </c>
      <c r="H14" s="39">
        <v>12000</v>
      </c>
      <c r="I14" s="30">
        <f t="shared" si="0"/>
        <v>34</v>
      </c>
      <c r="J14" s="30">
        <f t="shared" si="1"/>
        <v>51</v>
      </c>
      <c r="K14" s="33">
        <f t="shared" si="2"/>
        <v>6120</v>
      </c>
      <c r="L14" s="33">
        <f t="shared" si="3"/>
        <v>5880</v>
      </c>
      <c r="M14" s="33">
        <f t="shared" si="4"/>
        <v>13660181</v>
      </c>
      <c r="N14" s="33">
        <f t="shared" si="5"/>
        <v>27877920</v>
      </c>
      <c r="O14" s="29"/>
    </row>
    <row r="15" spans="1:15" s="3" customFormat="1" x14ac:dyDescent="0.2">
      <c r="B15" s="52" t="s">
        <v>42</v>
      </c>
      <c r="C15" s="35">
        <f>Area!E14</f>
        <v>1173.81</v>
      </c>
      <c r="D15" s="22">
        <v>2017</v>
      </c>
      <c r="E15" s="22">
        <v>1990</v>
      </c>
      <c r="F15" s="22">
        <v>2024</v>
      </c>
      <c r="G15" s="22">
        <v>60</v>
      </c>
      <c r="H15" s="39">
        <v>18000</v>
      </c>
      <c r="I15" s="30">
        <f t="shared" si="0"/>
        <v>34</v>
      </c>
      <c r="J15" s="30">
        <f t="shared" si="1"/>
        <v>51</v>
      </c>
      <c r="K15" s="33">
        <f t="shared" si="2"/>
        <v>9180</v>
      </c>
      <c r="L15" s="33">
        <f t="shared" si="3"/>
        <v>8820</v>
      </c>
      <c r="M15" s="33">
        <f t="shared" si="4"/>
        <v>10353004</v>
      </c>
      <c r="N15" s="33">
        <f t="shared" si="5"/>
        <v>21128580</v>
      </c>
      <c r="O15" s="29"/>
    </row>
    <row r="16" spans="1:15" s="3" customFormat="1" x14ac:dyDescent="0.2">
      <c r="B16" s="69" t="s">
        <v>76</v>
      </c>
      <c r="C16" s="70"/>
      <c r="D16" s="71"/>
      <c r="E16" s="71"/>
      <c r="F16" s="71"/>
      <c r="G16" s="71"/>
      <c r="H16" s="72"/>
      <c r="I16" s="44"/>
      <c r="J16" s="44"/>
      <c r="K16" s="45"/>
      <c r="L16" s="45"/>
      <c r="M16" s="45"/>
      <c r="N16" s="45"/>
      <c r="O16" s="29"/>
    </row>
    <row r="17" spans="2:15" s="3" customFormat="1" x14ac:dyDescent="0.2">
      <c r="B17" s="52" t="s">
        <v>43</v>
      </c>
      <c r="C17" s="35">
        <f>Area!E15</f>
        <v>969.06</v>
      </c>
      <c r="D17" s="22">
        <v>2007</v>
      </c>
      <c r="E17" s="22">
        <v>2007</v>
      </c>
      <c r="F17" s="22">
        <v>2024</v>
      </c>
      <c r="G17" s="22">
        <v>60</v>
      </c>
      <c r="H17" s="39">
        <v>18000</v>
      </c>
      <c r="I17" s="30">
        <f>F17-E17</f>
        <v>17</v>
      </c>
      <c r="J17" s="30">
        <f t="shared" si="1"/>
        <v>25.5</v>
      </c>
      <c r="K17" s="33">
        <f t="shared" si="2"/>
        <v>4590</v>
      </c>
      <c r="L17" s="33">
        <f t="shared" si="3"/>
        <v>13410</v>
      </c>
      <c r="M17" s="33">
        <f>ROUND((L17*C17),0)</f>
        <v>12995095</v>
      </c>
      <c r="N17" s="33">
        <f>ROUND((C17*H17),0)</f>
        <v>17443080</v>
      </c>
      <c r="O17" s="29"/>
    </row>
    <row r="18" spans="2:15" s="3" customFormat="1" x14ac:dyDescent="0.2">
      <c r="B18" s="52" t="s">
        <v>41</v>
      </c>
      <c r="C18" s="35">
        <f>Area!E16</f>
        <v>969.06</v>
      </c>
      <c r="D18" s="22">
        <v>2007</v>
      </c>
      <c r="E18" s="22">
        <v>2007</v>
      </c>
      <c r="F18" s="22">
        <v>2024</v>
      </c>
      <c r="G18" s="22">
        <v>60</v>
      </c>
      <c r="H18" s="39">
        <v>18000</v>
      </c>
      <c r="I18" s="30">
        <f>F18-E18</f>
        <v>17</v>
      </c>
      <c r="J18" s="30">
        <f t="shared" si="1"/>
        <v>25.5</v>
      </c>
      <c r="K18" s="33">
        <f t="shared" si="2"/>
        <v>4590</v>
      </c>
      <c r="L18" s="33">
        <f t="shared" si="3"/>
        <v>13410</v>
      </c>
      <c r="M18" s="33">
        <f>ROUND((L18*C18),0)</f>
        <v>12995095</v>
      </c>
      <c r="N18" s="33">
        <f>ROUND((C18*H18),0)</f>
        <v>17443080</v>
      </c>
      <c r="O18" s="29"/>
    </row>
    <row r="19" spans="2:15" s="3" customFormat="1" x14ac:dyDescent="0.2">
      <c r="B19" s="52" t="s">
        <v>42</v>
      </c>
      <c r="C19" s="35">
        <f>Area!E17</f>
        <v>969.06</v>
      </c>
      <c r="D19" s="22">
        <v>2007</v>
      </c>
      <c r="E19" s="22">
        <v>2007</v>
      </c>
      <c r="F19" s="22">
        <v>2024</v>
      </c>
      <c r="G19" s="22">
        <v>60</v>
      </c>
      <c r="H19" s="39">
        <v>18000</v>
      </c>
      <c r="I19" s="30">
        <f>F19-E19</f>
        <v>17</v>
      </c>
      <c r="J19" s="30">
        <f t="shared" si="1"/>
        <v>25.5</v>
      </c>
      <c r="K19" s="33">
        <f t="shared" si="2"/>
        <v>4590</v>
      </c>
      <c r="L19" s="33">
        <f t="shared" si="3"/>
        <v>13410</v>
      </c>
      <c r="M19" s="33">
        <f>ROUND((L19*C19),0)</f>
        <v>12995095</v>
      </c>
      <c r="N19" s="33">
        <f>ROUND((C19*H19),0)</f>
        <v>17443080</v>
      </c>
      <c r="O19" s="29"/>
    </row>
    <row r="20" spans="2:15" s="3" customFormat="1" x14ac:dyDescent="0.2">
      <c r="B20" s="52" t="s">
        <v>74</v>
      </c>
      <c r="C20" s="35">
        <f>Area!E18</f>
        <v>969.06</v>
      </c>
      <c r="D20" s="22">
        <v>2007</v>
      </c>
      <c r="E20" s="22">
        <v>2007</v>
      </c>
      <c r="F20" s="22">
        <v>2024</v>
      </c>
      <c r="G20" s="22">
        <v>60</v>
      </c>
      <c r="H20" s="39">
        <v>18000</v>
      </c>
      <c r="I20" s="30">
        <f>F20-E20</f>
        <v>17</v>
      </c>
      <c r="J20" s="30">
        <f t="shared" si="1"/>
        <v>25.5</v>
      </c>
      <c r="K20" s="33">
        <f t="shared" si="2"/>
        <v>4590</v>
      </c>
      <c r="L20" s="33">
        <f t="shared" si="3"/>
        <v>13410</v>
      </c>
      <c r="M20" s="33">
        <f>ROUND((L20*C20),0)</f>
        <v>12995095</v>
      </c>
      <c r="N20" s="33">
        <f>ROUND((C20*H20),0)</f>
        <v>17443080</v>
      </c>
      <c r="O20" s="29"/>
    </row>
    <row r="21" spans="2:15" s="3" customFormat="1" x14ac:dyDescent="0.2">
      <c r="B21" s="69" t="s">
        <v>75</v>
      </c>
      <c r="C21" s="35"/>
      <c r="D21" s="71"/>
      <c r="E21" s="71"/>
      <c r="F21" s="71"/>
      <c r="G21" s="71"/>
      <c r="H21" s="72"/>
      <c r="I21" s="44"/>
      <c r="J21" s="44"/>
      <c r="K21" s="45"/>
      <c r="L21" s="45"/>
      <c r="M21" s="45"/>
      <c r="N21" s="45"/>
      <c r="O21" s="29"/>
    </row>
    <row r="22" spans="2:15" s="3" customFormat="1" x14ac:dyDescent="0.3">
      <c r="B22" s="52" t="s">
        <v>43</v>
      </c>
      <c r="C22" s="76">
        <f>Area!E19</f>
        <v>238.39</v>
      </c>
      <c r="D22" s="22">
        <v>2017</v>
      </c>
      <c r="E22" s="22">
        <v>2017</v>
      </c>
      <c r="F22" s="22">
        <v>2024</v>
      </c>
      <c r="G22" s="22">
        <v>60</v>
      </c>
      <c r="H22" s="39">
        <v>18000</v>
      </c>
      <c r="I22" s="30">
        <f>F22-E22</f>
        <v>7</v>
      </c>
      <c r="J22" s="30">
        <f t="shared" si="1"/>
        <v>10.5</v>
      </c>
      <c r="K22" s="33">
        <f t="shared" si="2"/>
        <v>1890</v>
      </c>
      <c r="L22" s="33">
        <f t="shared" si="3"/>
        <v>16110</v>
      </c>
      <c r="M22" s="33">
        <f>ROUND((L22*C22),0)</f>
        <v>3840463</v>
      </c>
      <c r="N22" s="33">
        <f>ROUND((C22*H22),0)</f>
        <v>4291020</v>
      </c>
      <c r="O22" s="29"/>
    </row>
    <row r="23" spans="2:15" s="3" customFormat="1" x14ac:dyDescent="0.3">
      <c r="B23" s="52" t="s">
        <v>41</v>
      </c>
      <c r="C23" s="76">
        <f>Area!E20</f>
        <v>131.16</v>
      </c>
      <c r="D23" s="22">
        <v>2017</v>
      </c>
      <c r="E23" s="22">
        <v>2017</v>
      </c>
      <c r="F23" s="22">
        <v>2024</v>
      </c>
      <c r="G23" s="22">
        <v>60</v>
      </c>
      <c r="H23" s="39">
        <v>18000</v>
      </c>
      <c r="I23" s="30">
        <f>F23-E23</f>
        <v>7</v>
      </c>
      <c r="J23" s="30">
        <f t="shared" si="1"/>
        <v>10.5</v>
      </c>
      <c r="K23" s="33">
        <f t="shared" si="2"/>
        <v>1890</v>
      </c>
      <c r="L23" s="33">
        <f t="shared" si="3"/>
        <v>16110</v>
      </c>
      <c r="M23" s="33">
        <f>ROUND((L23*C23),0)</f>
        <v>2112988</v>
      </c>
      <c r="N23" s="33">
        <f>ROUND((C23*H23),0)</f>
        <v>2360880</v>
      </c>
      <c r="O23" s="29"/>
    </row>
    <row r="24" spans="2:15" s="3" customFormat="1" x14ac:dyDescent="0.3">
      <c r="B24" s="52" t="s">
        <v>42</v>
      </c>
      <c r="C24" s="76">
        <f>Area!E21</f>
        <v>189.52</v>
      </c>
      <c r="D24" s="22">
        <v>2017</v>
      </c>
      <c r="E24" s="22">
        <v>2017</v>
      </c>
      <c r="F24" s="22">
        <v>2024</v>
      </c>
      <c r="G24" s="22">
        <v>60</v>
      </c>
      <c r="H24" s="39">
        <v>18000</v>
      </c>
      <c r="I24" s="30">
        <f t="shared" ref="I24:I26" si="6">F24-E24</f>
        <v>7</v>
      </c>
      <c r="J24" s="30">
        <f t="shared" si="1"/>
        <v>10.5</v>
      </c>
      <c r="K24" s="33">
        <f t="shared" si="2"/>
        <v>1890</v>
      </c>
      <c r="L24" s="33">
        <f t="shared" si="3"/>
        <v>16110</v>
      </c>
      <c r="M24" s="33">
        <f t="shared" ref="M24:M26" si="7">ROUND((L24*C24),0)</f>
        <v>3053167</v>
      </c>
      <c r="N24" s="33">
        <f t="shared" ref="N24:N26" si="8">ROUND((C24*H24),0)</f>
        <v>3411360</v>
      </c>
      <c r="O24" s="29"/>
    </row>
    <row r="25" spans="2:15" s="3" customFormat="1" x14ac:dyDescent="0.3">
      <c r="B25" s="69" t="s">
        <v>88</v>
      </c>
      <c r="C25" s="76">
        <f>Area!E22</f>
        <v>668.86</v>
      </c>
      <c r="D25" s="22">
        <v>1990</v>
      </c>
      <c r="E25" s="22">
        <v>1990</v>
      </c>
      <c r="F25" s="22">
        <v>2024</v>
      </c>
      <c r="G25" s="22">
        <v>60</v>
      </c>
      <c r="H25" s="39">
        <v>12000</v>
      </c>
      <c r="I25" s="30">
        <f t="shared" si="6"/>
        <v>34</v>
      </c>
      <c r="J25" s="30">
        <f t="shared" si="1"/>
        <v>51</v>
      </c>
      <c r="K25" s="33">
        <f t="shared" si="2"/>
        <v>6120</v>
      </c>
      <c r="L25" s="33">
        <f t="shared" si="3"/>
        <v>5880</v>
      </c>
      <c r="M25" s="33">
        <f t="shared" si="7"/>
        <v>3932897</v>
      </c>
      <c r="N25" s="33">
        <f t="shared" si="8"/>
        <v>8026320</v>
      </c>
      <c r="O25" s="29"/>
    </row>
    <row r="26" spans="2:15" s="3" customFormat="1" x14ac:dyDescent="0.3">
      <c r="B26" s="69" t="s">
        <v>89</v>
      </c>
      <c r="C26" s="75">
        <f>Area!E23</f>
        <v>122</v>
      </c>
      <c r="D26" s="22">
        <v>1990</v>
      </c>
      <c r="E26" s="22">
        <v>1990</v>
      </c>
      <c r="F26" s="22">
        <v>2024</v>
      </c>
      <c r="G26" s="22">
        <v>60</v>
      </c>
      <c r="H26" s="39">
        <v>18000</v>
      </c>
      <c r="I26" s="30">
        <f t="shared" si="6"/>
        <v>34</v>
      </c>
      <c r="J26" s="30">
        <f t="shared" si="1"/>
        <v>51</v>
      </c>
      <c r="K26" s="33">
        <f t="shared" si="2"/>
        <v>9180</v>
      </c>
      <c r="L26" s="33">
        <f t="shared" si="3"/>
        <v>8820</v>
      </c>
      <c r="M26" s="33">
        <f t="shared" si="7"/>
        <v>1076040</v>
      </c>
      <c r="N26" s="33">
        <f t="shared" si="8"/>
        <v>2196000</v>
      </c>
      <c r="O26" s="29"/>
    </row>
    <row r="27" spans="2:15" s="40" customFormat="1" x14ac:dyDescent="0.3">
      <c r="B27" s="47" t="s">
        <v>20</v>
      </c>
      <c r="C27" s="41">
        <f>SUM(C9:C26)</f>
        <v>13344.499999999998</v>
      </c>
      <c r="D27" s="42"/>
      <c r="E27" s="42"/>
      <c r="F27" s="42"/>
      <c r="G27" s="42"/>
      <c r="H27" s="43"/>
      <c r="I27" s="44"/>
      <c r="J27" s="44"/>
      <c r="K27" s="45"/>
      <c r="L27" s="45"/>
      <c r="M27" s="41">
        <f>SUM(M9:M26)</f>
        <v>130435266</v>
      </c>
      <c r="N27" s="41">
        <f>SUM(N9:N26)</f>
        <v>221566740</v>
      </c>
      <c r="O27" s="46"/>
    </row>
    <row r="28" spans="2:15" x14ac:dyDescent="0.3">
      <c r="B28" s="7"/>
      <c r="C28" s="36"/>
      <c r="D28" s="36"/>
      <c r="E28" s="53"/>
      <c r="F28" s="26"/>
      <c r="G28" s="26"/>
      <c r="H28" s="27"/>
      <c r="I28" s="31"/>
      <c r="J28" s="31"/>
      <c r="K28" s="21"/>
      <c r="L28" s="21"/>
      <c r="M28" s="21"/>
      <c r="N28" s="21"/>
      <c r="O28" s="31"/>
    </row>
    <row r="29" spans="2:15" x14ac:dyDescent="0.3">
      <c r="B29" s="7"/>
      <c r="C29" s="37"/>
      <c r="D29" s="37"/>
      <c r="E29" s="8"/>
      <c r="F29" s="8"/>
      <c r="G29" s="9"/>
      <c r="H29" s="9"/>
      <c r="I29" s="9"/>
      <c r="J29" s="8"/>
      <c r="K29" s="12"/>
      <c r="L29" s="13"/>
      <c r="M29" s="21"/>
      <c r="N29" s="21"/>
      <c r="O29" s="9"/>
    </row>
    <row r="30" spans="2:15" x14ac:dyDescent="0.3">
      <c r="B30" s="100" t="s">
        <v>47</v>
      </c>
      <c r="C30" s="100"/>
      <c r="D30" s="6"/>
      <c r="E30" s="8"/>
      <c r="F30" s="8"/>
      <c r="G30" s="9"/>
      <c r="H30" s="9"/>
      <c r="I30" s="9"/>
      <c r="J30" s="8"/>
      <c r="K30" s="12"/>
      <c r="L30" s="13"/>
      <c r="M30" s="21"/>
      <c r="N30" s="21"/>
      <c r="O30" s="9"/>
    </row>
    <row r="31" spans="2:15" x14ac:dyDescent="0.3">
      <c r="B31" s="19" t="s">
        <v>48</v>
      </c>
      <c r="C31" s="79">
        <v>0</v>
      </c>
      <c r="D31" s="94"/>
      <c r="E31" s="8"/>
      <c r="F31" s="8"/>
      <c r="G31" s="9"/>
      <c r="H31" s="9"/>
      <c r="I31" s="9"/>
      <c r="J31" s="8"/>
      <c r="K31" s="12"/>
      <c r="L31" s="13"/>
      <c r="M31" s="21"/>
      <c r="N31" s="21"/>
      <c r="O31" s="9"/>
    </row>
    <row r="32" spans="2:15" x14ac:dyDescent="0.3">
      <c r="B32" s="78" t="s">
        <v>8</v>
      </c>
      <c r="C32" s="80">
        <v>0</v>
      </c>
      <c r="D32" s="95"/>
      <c r="E32" s="8"/>
      <c r="F32" s="8"/>
      <c r="G32" s="9"/>
      <c r="H32" s="9"/>
      <c r="I32" s="9"/>
      <c r="J32" s="8"/>
      <c r="K32" s="12"/>
      <c r="L32" s="13"/>
      <c r="M32" s="21"/>
      <c r="N32" s="21"/>
      <c r="O32" s="9"/>
    </row>
    <row r="33" spans="2:15" x14ac:dyDescent="0.3">
      <c r="B33" s="78" t="s">
        <v>9</v>
      </c>
      <c r="C33" s="79">
        <f>ROUND((C31*C32),0)</f>
        <v>0</v>
      </c>
      <c r="D33" s="94"/>
      <c r="E33" s="8"/>
      <c r="F33" s="8"/>
      <c r="G33" s="9"/>
      <c r="H33" s="9"/>
      <c r="I33" s="9"/>
      <c r="J33" s="8"/>
      <c r="K33" s="12"/>
      <c r="L33" s="13"/>
      <c r="M33" s="21"/>
      <c r="N33" s="21"/>
      <c r="O33" s="9"/>
    </row>
    <row r="34" spans="2:15" x14ac:dyDescent="0.3">
      <c r="B34" s="7"/>
      <c r="C34" s="81"/>
      <c r="D34" s="81"/>
      <c r="E34" s="8"/>
      <c r="F34" s="8"/>
      <c r="G34" s="9"/>
      <c r="H34" s="9"/>
      <c r="I34" s="9"/>
      <c r="J34" s="8"/>
      <c r="K34" s="12"/>
      <c r="L34" s="13"/>
      <c r="M34" s="21"/>
      <c r="N34" s="21"/>
      <c r="O34" s="9"/>
    </row>
    <row r="35" spans="2:15" x14ac:dyDescent="0.3">
      <c r="B35" s="101" t="s">
        <v>49</v>
      </c>
      <c r="C35" s="102"/>
      <c r="D35" s="96"/>
      <c r="E35" s="8"/>
      <c r="F35" s="8"/>
      <c r="G35" s="9"/>
      <c r="H35" s="9"/>
      <c r="I35" s="9"/>
      <c r="J35" s="8"/>
      <c r="K35" s="12"/>
      <c r="L35" s="13"/>
      <c r="M35" s="21"/>
      <c r="N35" s="21"/>
      <c r="O35" s="9"/>
    </row>
    <row r="36" spans="2:15" x14ac:dyDescent="0.3">
      <c r="B36" s="19" t="s">
        <v>50</v>
      </c>
      <c r="C36" s="79">
        <v>0</v>
      </c>
      <c r="D36" s="94"/>
      <c r="E36" s="8"/>
      <c r="F36" s="8"/>
      <c r="G36" s="9"/>
      <c r="H36" s="9"/>
      <c r="I36" s="9"/>
      <c r="J36" s="8"/>
      <c r="K36" s="12"/>
      <c r="L36" s="13"/>
      <c r="M36" s="21"/>
      <c r="N36" s="21"/>
      <c r="O36" s="9"/>
    </row>
    <row r="37" spans="2:15" x14ac:dyDescent="0.3">
      <c r="B37" s="78" t="s">
        <v>8</v>
      </c>
      <c r="C37" s="80">
        <v>0</v>
      </c>
      <c r="D37" s="95"/>
      <c r="E37" s="8"/>
      <c r="F37" s="8"/>
      <c r="G37" s="9"/>
      <c r="H37" s="9"/>
      <c r="I37" s="9"/>
      <c r="J37" s="8"/>
      <c r="K37" s="12"/>
      <c r="L37" s="13"/>
      <c r="M37" s="21"/>
      <c r="N37" s="21"/>
      <c r="O37" s="9"/>
    </row>
    <row r="38" spans="2:15" x14ac:dyDescent="0.3">
      <c r="B38" s="78" t="s">
        <v>9</v>
      </c>
      <c r="C38" s="82">
        <f>ROUND((C36*C37),0)</f>
        <v>0</v>
      </c>
      <c r="D38" s="97"/>
      <c r="E38" s="8"/>
      <c r="F38" s="8"/>
      <c r="G38" s="9"/>
      <c r="H38" s="9"/>
      <c r="I38" s="9"/>
      <c r="J38" s="8"/>
      <c r="K38" s="12"/>
      <c r="L38" s="13"/>
      <c r="M38" s="21"/>
      <c r="N38" s="21"/>
      <c r="O38" s="9"/>
    </row>
    <row r="39" spans="2:15" x14ac:dyDescent="0.3">
      <c r="B39" s="7"/>
      <c r="C39" s="37"/>
      <c r="D39" s="37"/>
      <c r="E39" s="8"/>
      <c r="F39" s="8"/>
      <c r="G39" s="9"/>
      <c r="H39" s="9"/>
      <c r="I39" s="9"/>
      <c r="J39" s="8"/>
      <c r="K39" s="12"/>
      <c r="L39" s="13"/>
      <c r="M39" s="21"/>
      <c r="N39" s="21"/>
      <c r="O39" s="9"/>
    </row>
    <row r="40" spans="2:15" x14ac:dyDescent="0.3">
      <c r="B40" s="7"/>
      <c r="C40" s="37"/>
      <c r="D40" s="37"/>
      <c r="E40" s="8"/>
      <c r="F40" s="8"/>
      <c r="G40" s="9"/>
      <c r="H40" s="9"/>
      <c r="I40" s="9"/>
      <c r="J40" s="8"/>
      <c r="K40" s="12"/>
      <c r="L40" s="13"/>
      <c r="M40" s="21"/>
      <c r="N40" s="21"/>
      <c r="O40" s="9"/>
    </row>
    <row r="41" spans="2:15" x14ac:dyDescent="0.3">
      <c r="C41" s="38"/>
      <c r="D41" s="38"/>
      <c r="E41" s="6"/>
      <c r="F41" s="17"/>
      <c r="H41" s="11"/>
      <c r="I41" s="1"/>
      <c r="J41" s="5"/>
      <c r="K41" s="17"/>
      <c r="L41" s="5"/>
      <c r="O41" s="1"/>
    </row>
    <row r="42" spans="2:15" x14ac:dyDescent="0.3">
      <c r="B42" s="76" t="s">
        <v>13</v>
      </c>
      <c r="C42" s="89">
        <f>C4</f>
        <v>223941030</v>
      </c>
      <c r="D42" s="98"/>
      <c r="E42" s="54"/>
      <c r="F42" s="15"/>
      <c r="G42" s="15"/>
      <c r="H42" s="16"/>
      <c r="I42" s="1"/>
      <c r="J42" s="5"/>
      <c r="K42" s="14"/>
      <c r="L42" s="5"/>
      <c r="O42" s="1"/>
    </row>
    <row r="43" spans="2:15" x14ac:dyDescent="0.3">
      <c r="B43" s="76" t="s">
        <v>14</v>
      </c>
      <c r="C43" s="89">
        <f>M27</f>
        <v>130435266</v>
      </c>
      <c r="D43" s="98"/>
      <c r="E43" s="54"/>
      <c r="F43" s="15"/>
      <c r="G43" s="15"/>
      <c r="H43" s="16"/>
      <c r="I43" s="1"/>
      <c r="J43" s="5"/>
      <c r="K43" s="16"/>
      <c r="L43" s="5"/>
      <c r="O43" s="1"/>
    </row>
    <row r="44" spans="2:15" ht="33" x14ac:dyDescent="0.3">
      <c r="B44" s="76" t="s">
        <v>19</v>
      </c>
      <c r="C44" s="89">
        <f>C33</f>
        <v>0</v>
      </c>
      <c r="D44" s="98"/>
      <c r="E44" s="15"/>
      <c r="F44" s="15"/>
      <c r="G44" s="15"/>
      <c r="H44" s="16"/>
      <c r="I44" s="1"/>
      <c r="J44" s="5"/>
      <c r="K44" s="16"/>
      <c r="L44" s="5"/>
      <c r="O44" s="1"/>
    </row>
    <row r="45" spans="2:15" x14ac:dyDescent="0.3">
      <c r="B45" s="76" t="s">
        <v>12</v>
      </c>
      <c r="C45" s="89">
        <f>C38</f>
        <v>0</v>
      </c>
      <c r="D45" s="98"/>
      <c r="E45" s="88"/>
      <c r="F45" s="15"/>
      <c r="G45" s="15"/>
      <c r="H45" s="16"/>
      <c r="I45" s="1"/>
      <c r="J45" s="5"/>
      <c r="K45" s="16"/>
      <c r="L45" s="5"/>
      <c r="O45" s="1"/>
    </row>
    <row r="46" spans="2:15" x14ac:dyDescent="0.3">
      <c r="B46" s="90" t="s">
        <v>28</v>
      </c>
      <c r="C46" s="86">
        <f>C42+C43+C44+C45</f>
        <v>354376296</v>
      </c>
      <c r="D46" s="93"/>
      <c r="E46" s="50"/>
      <c r="F46" s="87"/>
      <c r="I46" s="1"/>
      <c r="J46" s="5"/>
      <c r="K46" s="1"/>
      <c r="L46" s="5"/>
      <c r="O46" s="1"/>
    </row>
    <row r="47" spans="2:15" x14ac:dyDescent="0.3">
      <c r="B47" s="90" t="s">
        <v>10</v>
      </c>
      <c r="C47" s="86">
        <f>ROUND((C46*0.9),0)</f>
        <v>318938666</v>
      </c>
      <c r="D47" s="93"/>
      <c r="E47" s="50"/>
      <c r="F47" s="14"/>
      <c r="H47" s="23"/>
      <c r="I47" s="1"/>
      <c r="J47" s="5"/>
      <c r="K47" s="1"/>
      <c r="L47" s="5"/>
      <c r="O47" s="1"/>
    </row>
    <row r="48" spans="2:15" x14ac:dyDescent="0.3">
      <c r="B48" s="90" t="s">
        <v>11</v>
      </c>
      <c r="C48" s="86">
        <f>ROUND((C46*0.8),0)</f>
        <v>283501037</v>
      </c>
      <c r="D48" s="93"/>
      <c r="E48" s="50"/>
      <c r="F48" s="14"/>
      <c r="H48" s="23"/>
      <c r="I48" s="1"/>
      <c r="J48" s="5"/>
      <c r="K48" s="1"/>
      <c r="L48" s="5"/>
      <c r="O48" s="1"/>
    </row>
    <row r="49" spans="2:15" x14ac:dyDescent="0.3">
      <c r="B49" s="90" t="s">
        <v>15</v>
      </c>
      <c r="C49" s="86">
        <f>ROUND((N27*0.9),0)</f>
        <v>199410066</v>
      </c>
      <c r="D49" s="93"/>
      <c r="E49" s="50"/>
      <c r="F49" s="5"/>
      <c r="I49" s="1"/>
      <c r="J49" s="5"/>
      <c r="K49" s="1"/>
      <c r="L49" s="5"/>
      <c r="M49" s="24"/>
      <c r="O49" s="1"/>
    </row>
    <row r="50" spans="2:15" x14ac:dyDescent="0.3">
      <c r="B50" s="90" t="s">
        <v>62</v>
      </c>
      <c r="C50" s="86">
        <f>D4+M27</f>
        <v>162965647.19999999</v>
      </c>
      <c r="D50" s="93"/>
      <c r="N50" s="24"/>
    </row>
    <row r="51" spans="2:15" x14ac:dyDescent="0.3">
      <c r="N51" s="24"/>
    </row>
    <row r="52" spans="2:15" x14ac:dyDescent="0.3">
      <c r="L52" s="25"/>
      <c r="N52" s="24"/>
    </row>
    <row r="53" spans="2:15" x14ac:dyDescent="0.3">
      <c r="L53" s="25"/>
      <c r="N53" s="24"/>
    </row>
    <row r="54" spans="2:15" x14ac:dyDescent="0.3">
      <c r="I54" s="23"/>
      <c r="L54" s="25"/>
      <c r="N54" s="24"/>
    </row>
    <row r="55" spans="2:15" x14ac:dyDescent="0.3">
      <c r="L55" s="25"/>
      <c r="N55" s="24"/>
    </row>
    <row r="56" spans="2:15" x14ac:dyDescent="0.3">
      <c r="L56" s="25"/>
      <c r="N56" s="24"/>
    </row>
    <row r="57" spans="2:15" x14ac:dyDescent="0.3">
      <c r="L57" s="25"/>
      <c r="N57" s="24"/>
    </row>
    <row r="58" spans="2:15" x14ac:dyDescent="0.3">
      <c r="L58" s="25"/>
      <c r="N58" s="24"/>
    </row>
  </sheetData>
  <mergeCells count="2">
    <mergeCell ref="B30:C30"/>
    <mergeCell ref="B35:C35"/>
  </mergeCells>
  <pageMargins left="0.7" right="0.7" top="0.75" bottom="0.75" header="0.3" footer="0.3"/>
  <pageSetup scale="5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5"/>
  <sheetViews>
    <sheetView zoomScaleNormal="100" workbookViewId="0">
      <selection activeCell="E23" sqref="E23"/>
    </sheetView>
  </sheetViews>
  <sheetFormatPr defaultRowHeight="16.5" x14ac:dyDescent="0.3"/>
  <cols>
    <col min="1" max="1" width="4.140625" style="1" customWidth="1"/>
    <col min="2" max="2" width="7.7109375" style="1" bestFit="1" customWidth="1"/>
    <col min="3" max="3" width="16.85546875" style="1" bestFit="1" customWidth="1"/>
    <col min="4" max="4" width="11" style="1" bestFit="1" customWidth="1"/>
    <col min="5" max="5" width="20.42578125" style="28" bestFit="1" customWidth="1"/>
    <col min="6" max="6" width="29.85546875" style="28" customWidth="1"/>
    <col min="7" max="7" width="14.5703125" style="2" bestFit="1" customWidth="1"/>
    <col min="8" max="8" width="11.28515625" style="1" bestFit="1" customWidth="1"/>
    <col min="9" max="9" width="11.42578125" style="1" bestFit="1" customWidth="1"/>
    <col min="10" max="10" width="12.42578125" style="1" bestFit="1" customWidth="1"/>
    <col min="11" max="12" width="20" style="1" bestFit="1" customWidth="1"/>
    <col min="13" max="13" width="8" style="1" bestFit="1" customWidth="1"/>
    <col min="14" max="16384" width="9.140625" style="1"/>
  </cols>
  <sheetData>
    <row r="1" spans="1:14" x14ac:dyDescent="0.3">
      <c r="A1" s="103" t="s">
        <v>26</v>
      </c>
      <c r="B1" s="103"/>
      <c r="C1" s="103"/>
      <c r="D1" s="103"/>
      <c r="E1" s="103"/>
      <c r="F1" s="103"/>
      <c r="G1" s="103"/>
      <c r="K1" s="103" t="s">
        <v>64</v>
      </c>
      <c r="L1" s="103"/>
      <c r="M1" s="103"/>
      <c r="N1" s="103"/>
    </row>
    <row r="2" spans="1:14" s="2" customFormat="1" ht="33" x14ac:dyDescent="0.3">
      <c r="A2" s="65" t="s">
        <v>21</v>
      </c>
      <c r="B2" s="65" t="s">
        <v>34</v>
      </c>
      <c r="C2" s="66" t="s">
        <v>33</v>
      </c>
      <c r="D2" s="66" t="s">
        <v>44</v>
      </c>
      <c r="E2" s="67" t="s">
        <v>30</v>
      </c>
      <c r="F2" s="67" t="s">
        <v>31</v>
      </c>
      <c r="G2" s="67" t="s">
        <v>32</v>
      </c>
      <c r="H2" s="67" t="s">
        <v>35</v>
      </c>
      <c r="I2" s="67" t="s">
        <v>36</v>
      </c>
      <c r="J2" s="61" t="s">
        <v>65</v>
      </c>
      <c r="K2" s="92" t="s">
        <v>66</v>
      </c>
      <c r="L2" s="92" t="s">
        <v>67</v>
      </c>
      <c r="M2" s="61" t="s">
        <v>68</v>
      </c>
    </row>
    <row r="3" spans="1:14" x14ac:dyDescent="0.3">
      <c r="A3" s="56">
        <v>1</v>
      </c>
      <c r="B3" s="56">
        <v>194</v>
      </c>
      <c r="C3" s="56" t="s">
        <v>61</v>
      </c>
      <c r="D3" s="57">
        <v>23603.45</v>
      </c>
      <c r="E3" s="58" t="s">
        <v>63</v>
      </c>
      <c r="F3" s="19" t="s">
        <v>60</v>
      </c>
      <c r="G3" s="59">
        <v>825000</v>
      </c>
      <c r="H3" s="59">
        <v>12105</v>
      </c>
      <c r="I3" s="59">
        <f>SUM(G3:H3)</f>
        <v>837105</v>
      </c>
      <c r="J3" s="104" t="s">
        <v>70</v>
      </c>
      <c r="K3" s="105" t="s">
        <v>80</v>
      </c>
      <c r="L3" s="104" t="s">
        <v>71</v>
      </c>
      <c r="M3" s="104" t="s">
        <v>69</v>
      </c>
    </row>
    <row r="4" spans="1:14" x14ac:dyDescent="0.3">
      <c r="A4" s="114" t="s">
        <v>20</v>
      </c>
      <c r="B4" s="115"/>
      <c r="C4" s="116"/>
      <c r="D4" s="62">
        <f>SUM(D3:D3)</f>
        <v>23603.45</v>
      </c>
      <c r="E4" s="63"/>
      <c r="F4" s="63"/>
      <c r="G4" s="64">
        <f>SUM(G3:G3)</f>
        <v>825000</v>
      </c>
      <c r="H4" s="64">
        <f>SUM(H3:H3)</f>
        <v>12105</v>
      </c>
      <c r="I4" s="64">
        <f>SUM(I3:I3)</f>
        <v>837105</v>
      </c>
      <c r="J4" s="104"/>
      <c r="K4" s="105"/>
      <c r="L4" s="104"/>
      <c r="M4" s="104"/>
    </row>
    <row r="5" spans="1:14" x14ac:dyDescent="0.3">
      <c r="D5" s="55"/>
      <c r="L5" s="60"/>
    </row>
    <row r="6" spans="1:14" x14ac:dyDescent="0.3">
      <c r="A6" s="113" t="s">
        <v>58</v>
      </c>
      <c r="B6" s="113"/>
      <c r="C6" s="113"/>
      <c r="D6" s="113"/>
      <c r="E6" s="84">
        <v>23572.74</v>
      </c>
      <c r="L6" s="60"/>
    </row>
    <row r="7" spans="1:14" x14ac:dyDescent="0.3">
      <c r="L7" s="60"/>
    </row>
    <row r="8" spans="1:14" x14ac:dyDescent="0.3">
      <c r="A8" s="73" t="s">
        <v>37</v>
      </c>
      <c r="B8" s="73" t="s">
        <v>38</v>
      </c>
      <c r="C8" s="73" t="s">
        <v>39</v>
      </c>
      <c r="D8" s="73" t="s">
        <v>45</v>
      </c>
      <c r="E8" s="47" t="s">
        <v>46</v>
      </c>
      <c r="F8" s="1"/>
      <c r="G8" s="1"/>
    </row>
    <row r="9" spans="1:14" x14ac:dyDescent="0.3">
      <c r="A9" s="74">
        <v>1</v>
      </c>
      <c r="B9" s="112" t="s">
        <v>73</v>
      </c>
      <c r="C9" s="74" t="s">
        <v>40</v>
      </c>
      <c r="D9" s="109" t="s">
        <v>81</v>
      </c>
      <c r="E9" s="75">
        <v>1017.42</v>
      </c>
      <c r="F9" s="1"/>
      <c r="G9" s="1"/>
    </row>
    <row r="10" spans="1:14" x14ac:dyDescent="0.3">
      <c r="A10" s="74">
        <v>2</v>
      </c>
      <c r="B10" s="112"/>
      <c r="C10" s="74" t="s">
        <v>43</v>
      </c>
      <c r="D10" s="110"/>
      <c r="E10" s="75">
        <v>2681.85</v>
      </c>
      <c r="F10" s="1"/>
      <c r="G10" s="1"/>
    </row>
    <row r="11" spans="1:14" x14ac:dyDescent="0.3">
      <c r="A11" s="74">
        <v>3</v>
      </c>
      <c r="B11" s="112"/>
      <c r="C11" s="74" t="s">
        <v>72</v>
      </c>
      <c r="D11" s="110"/>
      <c r="E11" s="75">
        <v>113.69</v>
      </c>
      <c r="F11" s="1"/>
      <c r="G11" s="1"/>
    </row>
    <row r="12" spans="1:14" x14ac:dyDescent="0.3">
      <c r="A12" s="74">
        <v>4</v>
      </c>
      <c r="B12" s="112"/>
      <c r="C12" s="74" t="s">
        <v>41</v>
      </c>
      <c r="D12" s="110"/>
      <c r="E12" s="75">
        <f>808.4</f>
        <v>808.4</v>
      </c>
      <c r="F12" s="1"/>
      <c r="G12" s="1"/>
    </row>
    <row r="13" spans="1:14" x14ac:dyDescent="0.3">
      <c r="A13" s="74">
        <v>5</v>
      </c>
      <c r="B13" s="73" t="s">
        <v>78</v>
      </c>
      <c r="C13" s="74" t="s">
        <v>77</v>
      </c>
      <c r="D13" s="110"/>
      <c r="E13" s="75">
        <v>2323.16</v>
      </c>
      <c r="F13" s="1"/>
      <c r="G13" s="1"/>
    </row>
    <row r="14" spans="1:14" x14ac:dyDescent="0.3">
      <c r="A14" s="74">
        <v>6</v>
      </c>
      <c r="B14" s="73" t="s">
        <v>79</v>
      </c>
      <c r="C14" s="74" t="s">
        <v>42</v>
      </c>
      <c r="D14" s="111"/>
      <c r="E14" s="75">
        <v>1173.81</v>
      </c>
      <c r="F14" s="1"/>
      <c r="G14" s="1"/>
    </row>
    <row r="15" spans="1:14" x14ac:dyDescent="0.3">
      <c r="A15" s="74">
        <v>7</v>
      </c>
      <c r="B15" s="106" t="s">
        <v>76</v>
      </c>
      <c r="C15" s="74" t="s">
        <v>43</v>
      </c>
      <c r="D15" s="109">
        <v>2007</v>
      </c>
      <c r="E15" s="75">
        <v>969.06</v>
      </c>
      <c r="F15" s="1"/>
      <c r="G15" s="1"/>
    </row>
    <row r="16" spans="1:14" x14ac:dyDescent="0.3">
      <c r="A16" s="74">
        <v>8</v>
      </c>
      <c r="B16" s="107"/>
      <c r="C16" s="74" t="s">
        <v>41</v>
      </c>
      <c r="D16" s="110"/>
      <c r="E16" s="75">
        <v>969.06</v>
      </c>
      <c r="F16" s="1"/>
      <c r="G16" s="1"/>
    </row>
    <row r="17" spans="1:7" x14ac:dyDescent="0.3">
      <c r="A17" s="74">
        <v>9</v>
      </c>
      <c r="B17" s="107"/>
      <c r="C17" s="74" t="s">
        <v>42</v>
      </c>
      <c r="D17" s="110"/>
      <c r="E17" s="75">
        <v>969.06</v>
      </c>
      <c r="F17" s="1"/>
      <c r="G17" s="1"/>
    </row>
    <row r="18" spans="1:7" x14ac:dyDescent="0.3">
      <c r="A18" s="74">
        <v>10</v>
      </c>
      <c r="B18" s="108"/>
      <c r="C18" s="74" t="s">
        <v>74</v>
      </c>
      <c r="D18" s="111"/>
      <c r="E18" s="75">
        <v>969.06</v>
      </c>
      <c r="F18" s="1"/>
      <c r="G18" s="1"/>
    </row>
    <row r="19" spans="1:7" x14ac:dyDescent="0.3">
      <c r="A19" s="74">
        <v>11</v>
      </c>
      <c r="B19" s="106" t="s">
        <v>75</v>
      </c>
      <c r="C19" s="74" t="s">
        <v>43</v>
      </c>
      <c r="D19" s="109">
        <v>2017</v>
      </c>
      <c r="E19" s="76">
        <v>238.39</v>
      </c>
      <c r="F19" s="1"/>
      <c r="G19" s="1"/>
    </row>
    <row r="20" spans="1:7" x14ac:dyDescent="0.3">
      <c r="A20" s="74">
        <v>12</v>
      </c>
      <c r="B20" s="107"/>
      <c r="C20" s="74" t="s">
        <v>41</v>
      </c>
      <c r="D20" s="110"/>
      <c r="E20" s="76">
        <v>131.16</v>
      </c>
      <c r="F20" s="1"/>
      <c r="G20" s="1"/>
    </row>
    <row r="21" spans="1:7" x14ac:dyDescent="0.3">
      <c r="A21" s="74">
        <v>13</v>
      </c>
      <c r="B21" s="108"/>
      <c r="C21" s="74" t="s">
        <v>42</v>
      </c>
      <c r="D21" s="111"/>
      <c r="E21" s="76">
        <v>189.52</v>
      </c>
      <c r="F21" s="1"/>
      <c r="G21" s="1"/>
    </row>
    <row r="22" spans="1:7" x14ac:dyDescent="0.3">
      <c r="A22" s="74">
        <v>14</v>
      </c>
      <c r="B22" s="91"/>
      <c r="C22" s="74" t="s">
        <v>86</v>
      </c>
      <c r="D22" s="78">
        <v>1999</v>
      </c>
      <c r="E22" s="77">
        <f>891.86-223</f>
        <v>668.86</v>
      </c>
    </row>
    <row r="23" spans="1:7" x14ac:dyDescent="0.3">
      <c r="A23" s="74">
        <v>15</v>
      </c>
      <c r="B23" s="91"/>
      <c r="C23" s="74" t="s">
        <v>87</v>
      </c>
      <c r="D23" s="78">
        <v>1999</v>
      </c>
      <c r="E23" s="77">
        <v>122</v>
      </c>
    </row>
    <row r="24" spans="1:7" x14ac:dyDescent="0.3">
      <c r="B24" s="68"/>
    </row>
    <row r="25" spans="1:7" x14ac:dyDescent="0.3">
      <c r="B25" s="68"/>
    </row>
  </sheetData>
  <mergeCells count="14">
    <mergeCell ref="B19:B21"/>
    <mergeCell ref="D19:D21"/>
    <mergeCell ref="A1:G1"/>
    <mergeCell ref="B9:B12"/>
    <mergeCell ref="A6:D6"/>
    <mergeCell ref="A4:C4"/>
    <mergeCell ref="D15:D18"/>
    <mergeCell ref="D9:D14"/>
    <mergeCell ref="B15:B18"/>
    <mergeCell ref="K1:N1"/>
    <mergeCell ref="J3:J4"/>
    <mergeCell ref="K3:K4"/>
    <mergeCell ref="L3:L4"/>
    <mergeCell ref="M3:M4"/>
  </mergeCells>
  <pageMargins left="0.7" right="0.7" top="0.75" bottom="0.75" header="0.3" footer="0.3"/>
  <pageSetup orientation="portrait" horizont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130" zoomScaleNormal="130" workbookViewId="0">
      <selection activeCell="K24" sqref="K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4"/>
  <sheetViews>
    <sheetView workbookViewId="0">
      <selection activeCell="C10" sqref="C10"/>
    </sheetView>
  </sheetViews>
  <sheetFormatPr defaultRowHeight="15" x14ac:dyDescent="0.25"/>
  <cols>
    <col min="1" max="1" width="9.7109375" customWidth="1"/>
    <col min="2" max="2" width="20.28515625" style="51" customWidth="1"/>
    <col min="3" max="3" width="19.7109375" style="51" customWidth="1"/>
    <col min="4" max="4" width="15.42578125" style="51" customWidth="1"/>
    <col min="5" max="5" width="18.28515625" customWidth="1"/>
    <col min="6" max="6" width="14.85546875" bestFit="1" customWidth="1"/>
  </cols>
  <sheetData>
    <row r="1" spans="1:6" x14ac:dyDescent="0.25">
      <c r="A1" t="s">
        <v>22</v>
      </c>
      <c r="B1" s="51" t="s">
        <v>23</v>
      </c>
      <c r="C1" s="51" t="s">
        <v>24</v>
      </c>
      <c r="D1" s="51" t="s">
        <v>25</v>
      </c>
      <c r="E1" s="51" t="s">
        <v>55</v>
      </c>
      <c r="F1" s="51" t="s">
        <v>14</v>
      </c>
    </row>
    <row r="2" spans="1:6" x14ac:dyDescent="0.25">
      <c r="A2">
        <v>1</v>
      </c>
      <c r="B2" s="51">
        <f>2900*4047</f>
        <v>11736300</v>
      </c>
      <c r="C2" s="51">
        <v>7250000000</v>
      </c>
      <c r="D2" s="51">
        <f>Table1[[#This Row],[VALUE ]]/Table1[[#This Row],[AREA IN SQ. M.]]</f>
        <v>617.74153694094389</v>
      </c>
      <c r="E2" s="51"/>
      <c r="F2" s="51"/>
    </row>
    <row r="3" spans="1:6" ht="30" x14ac:dyDescent="0.25">
      <c r="A3">
        <v>2</v>
      </c>
      <c r="B3" s="51">
        <v>1486.45</v>
      </c>
      <c r="C3" s="51">
        <f>64000000-Table1[[#This Row],[Structure Value]]</f>
        <v>10487800</v>
      </c>
      <c r="D3" s="51">
        <f>Table1[[#This Row],[VALUE ]]/Table1[[#This Row],[AREA IN SQ. M.]]</f>
        <v>7055.6022738739948</v>
      </c>
      <c r="E3" s="83" t="s">
        <v>56</v>
      </c>
      <c r="F3" s="51">
        <f>Table1[[#This Row],[AREA IN SQ. M.]]*12000*3</f>
        <v>53512200</v>
      </c>
    </row>
    <row r="4" spans="1:6" x14ac:dyDescent="0.25">
      <c r="A4">
        <v>3</v>
      </c>
      <c r="B4" s="51">
        <v>3716</v>
      </c>
      <c r="C4" s="51">
        <v>11900000</v>
      </c>
      <c r="D4" s="51">
        <f>Table1[[#This Row],[VALUE ]]/Table1[[#This Row],[AREA IN SQ. M.]]</f>
        <v>3202.3681377825619</v>
      </c>
      <c r="E4" s="51"/>
      <c r="F4" s="51"/>
    </row>
    <row r="5" spans="1:6" ht="30" x14ac:dyDescent="0.25">
      <c r="A5">
        <v>4</v>
      </c>
      <c r="B5" s="51">
        <v>5263.01</v>
      </c>
      <c r="C5" s="51">
        <f>40000000-Table1[[#This Row],[Structure Value]]</f>
        <v>12118960</v>
      </c>
      <c r="D5" s="51">
        <f>Table1[[#This Row],[VALUE ]]/Table1[[#This Row],[AREA IN SQ. M.]]</f>
        <v>2302.667104945649</v>
      </c>
      <c r="E5" s="83" t="s">
        <v>57</v>
      </c>
      <c r="F5" s="51">
        <f>2323.42*12000</f>
        <v>27881040</v>
      </c>
    </row>
    <row r="6" spans="1:6" x14ac:dyDescent="0.25">
      <c r="A6">
        <v>5</v>
      </c>
      <c r="B6" s="51">
        <v>3127.12</v>
      </c>
      <c r="C6" s="51">
        <v>58000000</v>
      </c>
      <c r="D6" s="51">
        <f>Table1[[#This Row],[VALUE ]]/Table1[[#This Row],[AREA IN SQ. M.]]</f>
        <v>18547.417432014121</v>
      </c>
      <c r="E6" s="51"/>
      <c r="F6" s="51"/>
    </row>
    <row r="7" spans="1:6" x14ac:dyDescent="0.25">
      <c r="A7">
        <v>6</v>
      </c>
      <c r="B7" s="51">
        <f>56630/10.764</f>
        <v>5261.0553697510222</v>
      </c>
      <c r="C7" s="51">
        <v>40000000</v>
      </c>
      <c r="D7" s="51">
        <f>Table1[[#This Row],[VALUE ]]/Table1[[#This Row],[AREA IN SQ. M.]]</f>
        <v>7603.0372594031423</v>
      </c>
      <c r="E7" s="51"/>
      <c r="F7" s="51"/>
    </row>
    <row r="8" spans="1:6" x14ac:dyDescent="0.25">
      <c r="A8">
        <v>7</v>
      </c>
      <c r="B8" s="51">
        <v>4047</v>
      </c>
      <c r="C8" s="51">
        <v>5900000</v>
      </c>
      <c r="D8" s="51">
        <f>Table1[[#This Row],[VALUE ]]/Table1[[#This Row],[AREA IN SQ. M.]]</f>
        <v>1457.8700271806276</v>
      </c>
      <c r="E8" s="51"/>
      <c r="F8" s="51"/>
    </row>
    <row r="9" spans="1:6" x14ac:dyDescent="0.25">
      <c r="A9">
        <v>8</v>
      </c>
      <c r="E9" s="51"/>
      <c r="F9" s="51"/>
    </row>
    <row r="10" spans="1:6" x14ac:dyDescent="0.25">
      <c r="A10">
        <v>9</v>
      </c>
      <c r="E10" s="51"/>
      <c r="F10" s="51"/>
    </row>
    <row r="11" spans="1:6" x14ac:dyDescent="0.25">
      <c r="A11">
        <v>10</v>
      </c>
      <c r="E11" s="51"/>
      <c r="F11" s="51"/>
    </row>
    <row r="12" spans="1:6" x14ac:dyDescent="0.25">
      <c r="A12">
        <v>11</v>
      </c>
      <c r="E12" s="51"/>
      <c r="F12" s="51"/>
    </row>
    <row r="13" spans="1:6" x14ac:dyDescent="0.25">
      <c r="A13">
        <v>12</v>
      </c>
      <c r="E13" s="51"/>
      <c r="F13" s="51"/>
    </row>
    <row r="14" spans="1:6" x14ac:dyDescent="0.25">
      <c r="A14">
        <v>13</v>
      </c>
      <c r="E14" s="51"/>
      <c r="F14" s="51"/>
    </row>
    <row r="15" spans="1:6" x14ac:dyDescent="0.25">
      <c r="A15">
        <v>14</v>
      </c>
      <c r="E15" s="51"/>
      <c r="F15" s="51"/>
    </row>
    <row r="16" spans="1:6" x14ac:dyDescent="0.25">
      <c r="A16">
        <v>15</v>
      </c>
      <c r="E16" s="51"/>
      <c r="F16" s="51"/>
    </row>
    <row r="17" spans="1:6" x14ac:dyDescent="0.25">
      <c r="A17">
        <v>16</v>
      </c>
      <c r="E17" s="51"/>
      <c r="F17" s="51"/>
    </row>
    <row r="18" spans="1:6" x14ac:dyDescent="0.25">
      <c r="A18">
        <v>17</v>
      </c>
      <c r="E18" s="51"/>
      <c r="F18" s="51"/>
    </row>
    <row r="19" spans="1:6" x14ac:dyDescent="0.25">
      <c r="A19">
        <v>18</v>
      </c>
      <c r="E19" s="51"/>
      <c r="F19" s="51"/>
    </row>
    <row r="20" spans="1:6" x14ac:dyDescent="0.25">
      <c r="A20">
        <v>19</v>
      </c>
      <c r="E20" s="51"/>
      <c r="F20" s="51"/>
    </row>
    <row r="21" spans="1:6" x14ac:dyDescent="0.25">
      <c r="A21">
        <v>20</v>
      </c>
      <c r="E21" s="51"/>
      <c r="F21" s="51"/>
    </row>
    <row r="22" spans="1:6" x14ac:dyDescent="0.25">
      <c r="A22">
        <v>21</v>
      </c>
      <c r="E22" s="51"/>
      <c r="F22" s="51"/>
    </row>
    <row r="23" spans="1:6" x14ac:dyDescent="0.25">
      <c r="A23">
        <v>22</v>
      </c>
      <c r="E23" s="51"/>
      <c r="F23" s="51"/>
    </row>
    <row r="24" spans="1:6" x14ac:dyDescent="0.25">
      <c r="A24">
        <v>23</v>
      </c>
      <c r="E24" s="51"/>
      <c r="F24" s="51"/>
    </row>
  </sheetData>
  <pageMargins left="0.7" right="0.7" top="0.75" bottom="0.75" header="0.3" footer="0.3"/>
  <pageSetup orientation="portrait" horizontalDpi="300" verticalDpi="0" copies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A3B1A-B8B1-447D-9717-A136758A1A2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5BD1F-911F-4E8E-A65B-1D83EEF3ECE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5902B-5D0E-43CA-9846-99A4B2E82EA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DD877-8571-4AA2-A8CA-D68660C794B7}">
  <dimension ref="A1"/>
  <sheetViews>
    <sheetView workbookViewId="0">
      <selection activeCell="Y14" sqref="Y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B2403-5E12-4E5C-80E5-D8B4D5A05BC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Calculation sheet</vt:lpstr>
      <vt:lpstr>Area</vt:lpstr>
      <vt:lpstr>Jantri Rate</vt:lpstr>
      <vt:lpstr>Rate Summary</vt:lpstr>
      <vt:lpstr>Sheet1</vt:lpstr>
      <vt:lpstr>Sheet2</vt:lpstr>
      <vt:lpstr>Sheet3</vt:lpstr>
      <vt:lpstr>Sheet4</vt:lpstr>
      <vt:lpstr>Sheet5</vt:lpstr>
      <vt:lpstr>Sheet6</vt:lpstr>
      <vt:lpstr>Sheet7</vt:lpstr>
      <vt:lpstr>Parmes Diamond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</cp:lastModifiedBy>
  <cp:lastPrinted>2024-09-11T04:37:35Z</cp:lastPrinted>
  <dcterms:created xsi:type="dcterms:W3CDTF">2014-10-16T12:20:47Z</dcterms:created>
  <dcterms:modified xsi:type="dcterms:W3CDTF">2024-09-11T04:37:37Z</dcterms:modified>
</cp:coreProperties>
</file>