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Mahendra Exports\Mahendra Brothers Exports Pvt. Ltd. Navsari\"/>
    </mc:Choice>
  </mc:AlternateContent>
  <xr:revisionPtr revIDLastSave="0" documentId="13_ncr:1_{64CF78F2-2BB4-4821-AE6B-38266894E4F1}" xr6:coauthVersionLast="47" xr6:coauthVersionMax="47" xr10:uidLastSave="{00000000-0000-0000-0000-000000000000}"/>
  <bookViews>
    <workbookView xWindow="-120" yWindow="-120" windowWidth="29040" windowHeight="15720" firstSheet="1" activeTab="11" xr2:uid="{00000000-000D-0000-FFFF-FFFF00000000}"/>
  </bookViews>
  <sheets>
    <sheet name="Calculation sheet" sheetId="2" r:id="rId1"/>
    <sheet name="Area" sheetId="6" r:id="rId2"/>
    <sheet name="Jantri Rate" sheetId="4" r:id="rId3"/>
    <sheet name="Rate Summary" sheetId="8" r:id="rId4"/>
    <sheet name="Sheet1" sheetId="9" r:id="rId5"/>
    <sheet name="Sheet2" sheetId="10" r:id="rId6"/>
    <sheet name="Sheet3" sheetId="11" r:id="rId7"/>
    <sheet name="Sheet4" sheetId="12" r:id="rId8"/>
    <sheet name="Sheet5" sheetId="13" r:id="rId9"/>
    <sheet name="Sheet6" sheetId="14" r:id="rId10"/>
    <sheet name="Sheet7" sheetId="15" r:id="rId11"/>
    <sheet name="Mahendra Brothers" sheetId="16" r:id="rId12"/>
  </sheets>
  <definedNames>
    <definedName name="_xlnm.Database">#REF!</definedName>
  </definedNames>
  <calcPr calcId="191029"/>
</workbook>
</file>

<file path=xl/calcChain.xml><?xml version="1.0" encoding="utf-8"?>
<calcChain xmlns="http://schemas.openxmlformats.org/spreadsheetml/2006/main">
  <c r="C62" i="16" l="1"/>
  <c r="C57" i="16"/>
  <c r="C45" i="16"/>
  <c r="C56" i="16" s="1"/>
  <c r="I38" i="16"/>
  <c r="J38" i="16" s="1"/>
  <c r="K38" i="16" s="1"/>
  <c r="L38" i="16" s="1"/>
  <c r="H38" i="16"/>
  <c r="C38" i="16"/>
  <c r="M38" i="16" s="1"/>
  <c r="M36" i="16"/>
  <c r="H36" i="16"/>
  <c r="I36" i="16" s="1"/>
  <c r="J36" i="16" s="1"/>
  <c r="K36" i="16" s="1"/>
  <c r="L36" i="16" s="1"/>
  <c r="C36" i="16"/>
  <c r="M34" i="16"/>
  <c r="I34" i="16"/>
  <c r="J34" i="16" s="1"/>
  <c r="K34" i="16" s="1"/>
  <c r="L34" i="16" s="1"/>
  <c r="H34" i="16"/>
  <c r="C34" i="16"/>
  <c r="H32" i="16"/>
  <c r="I32" i="16" s="1"/>
  <c r="J32" i="16" s="1"/>
  <c r="K32" i="16" s="1"/>
  <c r="L32" i="16" s="1"/>
  <c r="C32" i="16"/>
  <c r="M32" i="16" s="1"/>
  <c r="I30" i="16"/>
  <c r="J30" i="16" s="1"/>
  <c r="K30" i="16" s="1"/>
  <c r="L30" i="16" s="1"/>
  <c r="H30" i="16"/>
  <c r="C30" i="16"/>
  <c r="M30" i="16" s="1"/>
  <c r="M28" i="16"/>
  <c r="H28" i="16"/>
  <c r="I28" i="16" s="1"/>
  <c r="J28" i="16" s="1"/>
  <c r="K28" i="16" s="1"/>
  <c r="L28" i="16" s="1"/>
  <c r="M26" i="16"/>
  <c r="H26" i="16"/>
  <c r="I26" i="16" s="1"/>
  <c r="J26" i="16" s="1"/>
  <c r="K26" i="16" s="1"/>
  <c r="L26" i="16" s="1"/>
  <c r="M25" i="16"/>
  <c r="H25" i="16"/>
  <c r="I25" i="16" s="1"/>
  <c r="J25" i="16" s="1"/>
  <c r="K25" i="16" s="1"/>
  <c r="L25" i="16" s="1"/>
  <c r="M24" i="16"/>
  <c r="H24" i="16"/>
  <c r="I24" i="16" s="1"/>
  <c r="J24" i="16" s="1"/>
  <c r="K24" i="16" s="1"/>
  <c r="L24" i="16" s="1"/>
  <c r="M22" i="16"/>
  <c r="H22" i="16"/>
  <c r="I22" i="16" s="1"/>
  <c r="J22" i="16" s="1"/>
  <c r="K22" i="16" s="1"/>
  <c r="L22" i="16" s="1"/>
  <c r="M21" i="16"/>
  <c r="H21" i="16"/>
  <c r="I21" i="16" s="1"/>
  <c r="J21" i="16" s="1"/>
  <c r="K21" i="16" s="1"/>
  <c r="L21" i="16" s="1"/>
  <c r="M20" i="16"/>
  <c r="H20" i="16"/>
  <c r="I20" i="16" s="1"/>
  <c r="J20" i="16" s="1"/>
  <c r="K20" i="16" s="1"/>
  <c r="L20" i="16" s="1"/>
  <c r="M18" i="16"/>
  <c r="H18" i="16"/>
  <c r="I18" i="16" s="1"/>
  <c r="J18" i="16" s="1"/>
  <c r="K18" i="16" s="1"/>
  <c r="L18" i="16" s="1"/>
  <c r="M17" i="16"/>
  <c r="H17" i="16"/>
  <c r="I17" i="16" s="1"/>
  <c r="J17" i="16" s="1"/>
  <c r="K17" i="16" s="1"/>
  <c r="L17" i="16" s="1"/>
  <c r="M16" i="16"/>
  <c r="H16" i="16"/>
  <c r="I16" i="16" s="1"/>
  <c r="J16" i="16" s="1"/>
  <c r="K16" i="16" s="1"/>
  <c r="L16" i="16" s="1"/>
  <c r="M14" i="16"/>
  <c r="H14" i="16"/>
  <c r="I14" i="16" s="1"/>
  <c r="J14" i="16" s="1"/>
  <c r="K14" i="16" s="1"/>
  <c r="L14" i="16" s="1"/>
  <c r="C14" i="16"/>
  <c r="M13" i="16"/>
  <c r="I13" i="16"/>
  <c r="J13" i="16" s="1"/>
  <c r="K13" i="16" s="1"/>
  <c r="L13" i="16" s="1"/>
  <c r="H13" i="16"/>
  <c r="C13" i="16"/>
  <c r="H12" i="16"/>
  <c r="I12" i="16" s="1"/>
  <c r="J12" i="16" s="1"/>
  <c r="K12" i="16" s="1"/>
  <c r="L12" i="16" s="1"/>
  <c r="C12" i="16"/>
  <c r="M12" i="16" s="1"/>
  <c r="I11" i="16"/>
  <c r="J11" i="16" s="1"/>
  <c r="K11" i="16" s="1"/>
  <c r="L11" i="16" s="1"/>
  <c r="H11" i="16"/>
  <c r="C11" i="16"/>
  <c r="C39" i="16" s="1"/>
  <c r="C48" i="16" s="1"/>
  <c r="M10" i="16"/>
  <c r="H10" i="16"/>
  <c r="I10" i="16" s="1"/>
  <c r="J10" i="16" s="1"/>
  <c r="K10" i="16" s="1"/>
  <c r="L10" i="16" s="1"/>
  <c r="L39" i="16" s="1"/>
  <c r="D4" i="16"/>
  <c r="C4" i="16"/>
  <c r="C54" i="16" s="1"/>
  <c r="F9" i="8"/>
  <c r="D9" i="8"/>
  <c r="C9" i="8"/>
  <c r="L4" i="6"/>
  <c r="L5" i="6"/>
  <c r="L6" i="6"/>
  <c r="L7" i="6"/>
  <c r="L8" i="6"/>
  <c r="L9" i="6"/>
  <c r="L10" i="6"/>
  <c r="L11" i="6"/>
  <c r="L3" i="6"/>
  <c r="C55" i="16" l="1"/>
  <c r="C58" i="16"/>
  <c r="M11" i="16"/>
  <c r="M39" i="16" s="1"/>
  <c r="C61" i="16" s="1"/>
  <c r="G16" i="8"/>
  <c r="G17" i="8"/>
  <c r="G15" i="8"/>
  <c r="G14" i="8"/>
  <c r="G13" i="8"/>
  <c r="F3" i="8"/>
  <c r="C3" i="8" s="1"/>
  <c r="D3" i="8" s="1"/>
  <c r="D59" i="2"/>
  <c r="D60" i="2"/>
  <c r="D8" i="8"/>
  <c r="B7" i="8"/>
  <c r="D7" i="8" s="1"/>
  <c r="D6" i="8"/>
  <c r="F5" i="8"/>
  <c r="C5" i="8"/>
  <c r="D5" i="8" s="1"/>
  <c r="D4" i="8"/>
  <c r="B2" i="8"/>
  <c r="D2" i="8" s="1"/>
  <c r="C45" i="2"/>
  <c r="C56" i="2" s="1"/>
  <c r="C59" i="16" l="1"/>
  <c r="C60" i="16"/>
  <c r="C38" i="2"/>
  <c r="C36" i="2"/>
  <c r="M36" i="2" s="1"/>
  <c r="C34" i="2"/>
  <c r="M34" i="2" s="1"/>
  <c r="C32" i="2"/>
  <c r="C30" i="2"/>
  <c r="C14" i="2"/>
  <c r="M14" i="2" s="1"/>
  <c r="C13" i="2"/>
  <c r="C12" i="2"/>
  <c r="C11" i="2"/>
  <c r="M38" i="2"/>
  <c r="H38" i="2"/>
  <c r="I38" i="2" s="1"/>
  <c r="J38" i="2" s="1"/>
  <c r="K38" i="2" s="1"/>
  <c r="H36" i="2"/>
  <c r="I36" i="2" s="1"/>
  <c r="J36" i="2" s="1"/>
  <c r="K36" i="2" s="1"/>
  <c r="H34" i="2"/>
  <c r="I34" i="2" s="1"/>
  <c r="J34" i="2" s="1"/>
  <c r="K34" i="2" s="1"/>
  <c r="M28" i="2"/>
  <c r="H28" i="2"/>
  <c r="I28" i="2" s="1"/>
  <c r="J28" i="2" s="1"/>
  <c r="K28" i="2" s="1"/>
  <c r="L28" i="2" s="1"/>
  <c r="M26" i="2"/>
  <c r="H26" i="2"/>
  <c r="I26" i="2" s="1"/>
  <c r="J26" i="2" s="1"/>
  <c r="K26" i="2" s="1"/>
  <c r="L26" i="2" s="1"/>
  <c r="M25" i="2"/>
  <c r="H25" i="2"/>
  <c r="I25" i="2" s="1"/>
  <c r="J25" i="2" s="1"/>
  <c r="K25" i="2" s="1"/>
  <c r="L25" i="2" s="1"/>
  <c r="M24" i="2"/>
  <c r="H24" i="2"/>
  <c r="I24" i="2" s="1"/>
  <c r="J24" i="2" s="1"/>
  <c r="K24" i="2" s="1"/>
  <c r="L24" i="2" s="1"/>
  <c r="M22" i="2"/>
  <c r="H22" i="2"/>
  <c r="I22" i="2" s="1"/>
  <c r="J22" i="2" s="1"/>
  <c r="K22" i="2" s="1"/>
  <c r="L22" i="2" s="1"/>
  <c r="M21" i="2"/>
  <c r="H21" i="2"/>
  <c r="I21" i="2" s="1"/>
  <c r="J21" i="2" s="1"/>
  <c r="K21" i="2" s="1"/>
  <c r="L21" i="2" s="1"/>
  <c r="M20" i="2"/>
  <c r="H20" i="2"/>
  <c r="I20" i="2" s="1"/>
  <c r="J20" i="2" s="1"/>
  <c r="K20" i="2" s="1"/>
  <c r="L20" i="2" s="1"/>
  <c r="M18" i="2"/>
  <c r="H18" i="2"/>
  <c r="I18" i="2" s="1"/>
  <c r="J18" i="2" s="1"/>
  <c r="K18" i="2" s="1"/>
  <c r="L18" i="2" s="1"/>
  <c r="M17" i="2"/>
  <c r="H17" i="2"/>
  <c r="I17" i="2" s="1"/>
  <c r="J17" i="2" s="1"/>
  <c r="K17" i="2" s="1"/>
  <c r="L17" i="2" s="1"/>
  <c r="M16" i="2"/>
  <c r="H16" i="2"/>
  <c r="I16" i="2" s="1"/>
  <c r="J16" i="2" s="1"/>
  <c r="K16" i="2" s="1"/>
  <c r="L16" i="2" s="1"/>
  <c r="H14" i="2"/>
  <c r="I14" i="2" s="1"/>
  <c r="J14" i="2" s="1"/>
  <c r="K14" i="2" s="1"/>
  <c r="M13" i="2"/>
  <c r="H13" i="2"/>
  <c r="I13" i="2" s="1"/>
  <c r="J13" i="2" s="1"/>
  <c r="K13" i="2" s="1"/>
  <c r="H12" i="2"/>
  <c r="I12" i="2" s="1"/>
  <c r="J12" i="2" s="1"/>
  <c r="K12" i="2" s="1"/>
  <c r="L12" i="2" s="1"/>
  <c r="M11" i="2"/>
  <c r="H11" i="2"/>
  <c r="I11" i="2" s="1"/>
  <c r="J11" i="2" s="1"/>
  <c r="K11" i="2" s="1"/>
  <c r="L11" i="2" s="1"/>
  <c r="M10" i="2"/>
  <c r="H10" i="2"/>
  <c r="I10" i="2" s="1"/>
  <c r="J10" i="2" s="1"/>
  <c r="K10" i="2" s="1"/>
  <c r="L10" i="2" s="1"/>
  <c r="E33" i="6"/>
  <c r="E34" i="6"/>
  <c r="E32" i="6"/>
  <c r="E35" i="6"/>
  <c r="E36" i="6"/>
  <c r="E21" i="6"/>
  <c r="E12" i="6"/>
  <c r="L13" i="2" l="1"/>
  <c r="L36" i="2"/>
  <c r="L14" i="2"/>
  <c r="L38" i="2"/>
  <c r="C39" i="2"/>
  <c r="C48" i="2" s="1"/>
  <c r="C57" i="2" s="1"/>
  <c r="L34" i="2"/>
  <c r="M12" i="2"/>
  <c r="E20" i="6"/>
  <c r="E19" i="6"/>
  <c r="E18" i="6"/>
  <c r="K8" i="6"/>
  <c r="K5" i="6"/>
  <c r="K4" i="6"/>
  <c r="J12" i="6"/>
  <c r="I12" i="6"/>
  <c r="K6" i="6"/>
  <c r="K7" i="6"/>
  <c r="K9" i="6"/>
  <c r="K10" i="6"/>
  <c r="K11" i="6"/>
  <c r="K3" i="6"/>
  <c r="K12" i="6" l="1"/>
  <c r="M30" i="2"/>
  <c r="H30" i="2"/>
  <c r="I30" i="2" s="1"/>
  <c r="J30" i="2" s="1"/>
  <c r="K30" i="2" s="1"/>
  <c r="L30" i="2" s="1"/>
  <c r="H32" i="2"/>
  <c r="I32" i="2" s="1"/>
  <c r="J32" i="2" s="1"/>
  <c r="K32" i="2" s="1"/>
  <c r="M32" i="2"/>
  <c r="M39" i="2" l="1"/>
  <c r="C61" i="2" s="1"/>
  <c r="C4" i="2"/>
  <c r="L32" i="2"/>
  <c r="L39" i="2" s="1"/>
  <c r="D4" i="2" l="1"/>
  <c r="C54" i="2"/>
  <c r="L40" i="2" l="1"/>
  <c r="C55" i="2"/>
  <c r="C58" i="2" l="1"/>
  <c r="E58" i="2" s="1"/>
  <c r="C60" i="2" l="1"/>
  <c r="C59" i="2"/>
</calcChain>
</file>

<file path=xl/sharedStrings.xml><?xml version="1.0" encoding="utf-8"?>
<sst xmlns="http://schemas.openxmlformats.org/spreadsheetml/2006/main" count="269" uniqueCount="138">
  <si>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</si>
  <si>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</si>
  <si>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</si>
  <si>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</si>
  <si>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</si>
  <si>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</si>
  <si>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</si>
  <si>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</si>
  <si>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</si>
  <si>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</si>
  <si>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</si>
  <si>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Realisable Value</t>
  </si>
  <si>
    <t>Distress Value</t>
  </si>
  <si>
    <t>Land Development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</si>
  <si>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</si>
  <si>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</si>
  <si>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</si>
  <si>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</si>
  <si>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</si>
  <si>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</si>
  <si>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Interior and Other Development</t>
  </si>
  <si>
    <t>TOTAL</t>
  </si>
  <si>
    <t>Sr. No.</t>
  </si>
  <si>
    <t>SR. NO.</t>
  </si>
  <si>
    <t>AREA IN SQ. M.</t>
  </si>
  <si>
    <t xml:space="preserve">VALUE </t>
  </si>
  <si>
    <t>RATE/ SQ. M.</t>
  </si>
  <si>
    <t>Land Area</t>
  </si>
  <si>
    <t xml:space="preserve"> Total land area</t>
  </si>
  <si>
    <t>Total fair Value</t>
  </si>
  <si>
    <t>govt. rate</t>
  </si>
  <si>
    <t>8 Paiki</t>
  </si>
  <si>
    <t>Seller Name</t>
  </si>
  <si>
    <t>Purchaser Name</t>
  </si>
  <si>
    <t>Purchase Price</t>
  </si>
  <si>
    <t>Date</t>
  </si>
  <si>
    <t xml:space="preserve">17 Paiki </t>
  </si>
  <si>
    <t>Plot No.</t>
  </si>
  <si>
    <t>23.05.2014</t>
  </si>
  <si>
    <t>Mahendra Brothers Exports Pvt. Ltd.</t>
  </si>
  <si>
    <t>Ghanshyam Vallabhbhai Chovatiya</t>
  </si>
  <si>
    <t>R. S. No.</t>
  </si>
  <si>
    <t>Plot No. 48 to 81 Paiki 20 / Paiki 1 &amp; 36/1</t>
  </si>
  <si>
    <t>Plot No. 48 to 81 Paiki 20 / Paiki 1 &amp; 36/2</t>
  </si>
  <si>
    <t>Vipulbhai Raiyabhai Sanghani</t>
  </si>
  <si>
    <t>22 Paiki</t>
  </si>
  <si>
    <t>Plot No. 164</t>
  </si>
  <si>
    <t>27.02.2015</t>
  </si>
  <si>
    <t>Soumil Properties &amp; Developers Pvt. Ltd.</t>
  </si>
  <si>
    <t>Shri Babubhai Nanubhai Desai &amp; 3 others</t>
  </si>
  <si>
    <t>15 Paiki</t>
  </si>
  <si>
    <t>Shri Govindbhai Madanbhai Patel &amp; 3 Others</t>
  </si>
  <si>
    <t>16 Paiki</t>
  </si>
  <si>
    <t>24.01.1994</t>
  </si>
  <si>
    <t>Shri Ishwarbhai Khalapbhai &amp; 2 Others</t>
  </si>
  <si>
    <t>Plot No. 165</t>
  </si>
  <si>
    <t>Plot No. 166</t>
  </si>
  <si>
    <t>Milan Kevinbhai Parikh</t>
  </si>
  <si>
    <t>Hitesh Bagmalbhai Parikh</t>
  </si>
  <si>
    <t>Jitendra Chimanlal Parikh</t>
  </si>
  <si>
    <t>Stamp Duty &amp; Reg. Chrg</t>
  </si>
  <si>
    <t>Total Book Value</t>
  </si>
  <si>
    <t>Sr.</t>
  </si>
  <si>
    <t>Bldg.</t>
  </si>
  <si>
    <t>Floor</t>
  </si>
  <si>
    <t>B</t>
  </si>
  <si>
    <t>A</t>
  </si>
  <si>
    <t>Basement</t>
  </si>
  <si>
    <t>First</t>
  </si>
  <si>
    <t>Second</t>
  </si>
  <si>
    <t>Plot No. 48 to 81 Paiki 28</t>
  </si>
  <si>
    <t>Name as per Merger Agreement</t>
  </si>
  <si>
    <t>Ground</t>
  </si>
  <si>
    <t xml:space="preserve">Third / Terrace </t>
  </si>
  <si>
    <t>Land Area in Sq. M.</t>
  </si>
  <si>
    <t xml:space="preserve">Terrace / ST / LMR </t>
  </si>
  <si>
    <t>C</t>
  </si>
  <si>
    <t>D</t>
  </si>
  <si>
    <t>E</t>
  </si>
  <si>
    <t>YOC</t>
  </si>
  <si>
    <t>2004 &amp; 2024</t>
  </si>
  <si>
    <t>Built Up Area in Sq. M.</t>
  </si>
  <si>
    <t>F</t>
  </si>
  <si>
    <t>G</t>
  </si>
  <si>
    <t>H</t>
  </si>
  <si>
    <t>I</t>
  </si>
  <si>
    <t>J</t>
  </si>
  <si>
    <t>Panel Room</t>
  </si>
  <si>
    <t>Cattle Shed</t>
  </si>
  <si>
    <t>Tank</t>
  </si>
  <si>
    <t>Bldg Shed</t>
  </si>
  <si>
    <t>Dog House</t>
  </si>
  <si>
    <t>Bldg. A</t>
  </si>
  <si>
    <t>Bldg. B</t>
  </si>
  <si>
    <t>Third / Terrace</t>
  </si>
  <si>
    <t>Terrace / ST / LMR</t>
  </si>
  <si>
    <t>Bldg. C</t>
  </si>
  <si>
    <t>Bldg. D</t>
  </si>
  <si>
    <t>Bldg. E</t>
  </si>
  <si>
    <t>Bldg. F</t>
  </si>
  <si>
    <t>Bldg. G</t>
  </si>
  <si>
    <t>Bldg. H</t>
  </si>
  <si>
    <t>Shed</t>
  </si>
  <si>
    <t>Bldg. I</t>
  </si>
  <si>
    <t>Bldg. J</t>
  </si>
  <si>
    <t>Interior and other Development</t>
  </si>
  <si>
    <t>Built up area</t>
  </si>
  <si>
    <t>Land Development Value</t>
  </si>
  <si>
    <t>land area</t>
  </si>
  <si>
    <t>in Sq. M.</t>
  </si>
  <si>
    <t>Built Up Area</t>
  </si>
  <si>
    <t>Year</t>
  </si>
  <si>
    <r>
      <t xml:space="preserve">in </t>
    </r>
    <r>
      <rPr>
        <b/>
        <sz val="10"/>
        <rFont val="Rupee Foradian"/>
        <family val="2"/>
      </rPr>
      <t>`</t>
    </r>
  </si>
  <si>
    <t>Structure</t>
  </si>
  <si>
    <t>With G + 2 Building &amp; 6.40 Cr. Value</t>
  </si>
  <si>
    <t>BUA area of 2323.42 Sq. M.</t>
  </si>
  <si>
    <t>Mahendra Brothers</t>
  </si>
  <si>
    <t>Parmeshwari Premchand Lalvani &amp; 1 Other</t>
  </si>
  <si>
    <t>27.02.2003</t>
  </si>
  <si>
    <t>Net Land Area in Sq. M. as per approved plan</t>
  </si>
  <si>
    <t>Previous Valuer</t>
  </si>
  <si>
    <t>AUCTION PROPERTY SUMMARY</t>
  </si>
  <si>
    <t>Property Type</t>
  </si>
  <si>
    <t>Property Details</t>
  </si>
  <si>
    <t>Area Details</t>
  </si>
  <si>
    <t>Reserve Price in Rs.</t>
  </si>
  <si>
    <t>Rate / Unit</t>
  </si>
  <si>
    <t>Area Unit</t>
  </si>
  <si>
    <t>Residential Bungalow</t>
  </si>
  <si>
    <t>Plot No. 75, Dhirubhaidaji Ni wadi Gali No. 3, Vijalpare</t>
  </si>
  <si>
    <t>Sq. Ft.</t>
  </si>
  <si>
    <t>Flat No. 104 Vasupujaya Residency, Surat Navsari Road, at Vada,</t>
  </si>
  <si>
    <t>Residential Flat</t>
  </si>
  <si>
    <t>Flat No A-404 “Prabhakunj-A Wing”, Vijalpore</t>
  </si>
  <si>
    <t>HRP BUNGALOWS, PLOT NO. 4, R.S NO.246 BY 1 247, BLOCK NO.242 242 BY ABC, NR. SHALIGRAM RESIDENCY, MOUJE KAMREJ, TAL. KAMREJ, SURAT</t>
  </si>
  <si>
    <t>FLAT NO. 402, MUNI. HOUSE NO. 992, GAUTAM SWAMI CO OP HOUSING SOCIETY, RAICHAND ROAD, NAVSARI</t>
  </si>
  <si>
    <t>CA = 1600 Sq. Ft.</t>
  </si>
  <si>
    <t>Guideline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</si>
</sst>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(* #,##0.000_);_(* \(#,##0.0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0"/>
      <color rgb="FF000000"/>
      <name val="Times New Roman"/>
      <family val="1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Rupee Foradian"/>
      <family val="2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2" fillId="0" borderId="0"/>
    <xf numFmtId="164" fontId="12" fillId="0" borderId="0" applyFont="0" applyFill="0" applyBorder="0" applyAlignment="0" applyProtection="0"/>
    <xf numFmtId="0" fontId="13" fillId="0" borderId="0"/>
    <xf numFmtId="9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>
      <alignment vertical="center"/>
    </xf>
    <xf numFmtId="0" fontId="15" fillId="0" borderId="0"/>
    <xf numFmtId="0" fontId="15" fillId="0" borderId="0"/>
    <xf numFmtId="0" fontId="13" fillId="0" borderId="0"/>
    <xf numFmtId="0" fontId="10" fillId="0" borderId="0"/>
    <xf numFmtId="9" fontId="10" fillId="0" borderId="0" applyFont="0" applyFill="0" applyBorder="0" applyAlignment="0" applyProtection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4" fontId="6" fillId="0" borderId="1" xfId="0" applyNumberFormat="1" applyFont="1" applyBorder="1" applyAlignment="1">
      <alignment vertical="top"/>
    </xf>
    <xf numFmtId="4" fontId="6" fillId="0" borderId="0" xfId="0" applyNumberFormat="1" applyFont="1" applyAlignment="1">
      <alignment vertical="top"/>
    </xf>
    <xf numFmtId="0" fontId="6" fillId="0" borderId="1" xfId="0" applyFont="1" applyBorder="1" applyAlignment="1">
      <alignment horizontal="right" vertical="top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right" vertical="center" wrapText="1"/>
    </xf>
    <xf numFmtId="4" fontId="6" fillId="0" borderId="0" xfId="0" applyNumberFormat="1" applyFont="1" applyAlignment="1">
      <alignment horizontal="right" vertical="top"/>
    </xf>
    <xf numFmtId="164" fontId="1" fillId="0" borderId="0" xfId="1" applyFont="1"/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1" xfId="0" applyFont="1" applyBorder="1" applyAlignment="1">
      <alignment horizontal="center"/>
    </xf>
    <xf numFmtId="164" fontId="6" fillId="0" borderId="1" xfId="1" applyFont="1" applyBorder="1" applyAlignment="1">
      <alignment vertical="top"/>
    </xf>
    <xf numFmtId="164" fontId="4" fillId="0" borderId="1" xfId="1" applyFont="1" applyBorder="1" applyAlignment="1">
      <alignment horizontal="center" vertical="top" wrapText="1" shrinkToFit="1"/>
    </xf>
    <xf numFmtId="164" fontId="1" fillId="0" borderId="1" xfId="1" applyFont="1" applyBorder="1" applyAlignment="1">
      <alignment horizontal="right" vertical="top" wrapText="1"/>
    </xf>
    <xf numFmtId="164" fontId="8" fillId="0" borderId="0" xfId="1" applyFont="1" applyBorder="1" applyAlignment="1">
      <alignment horizontal="right" wrapText="1"/>
    </xf>
    <xf numFmtId="164" fontId="1" fillId="0" borderId="0" xfId="1" applyFont="1" applyBorder="1" applyAlignment="1">
      <alignment vertical="top"/>
    </xf>
    <xf numFmtId="164" fontId="5" fillId="0" borderId="0" xfId="1" applyFont="1" applyAlignment="1">
      <alignment horizontal="center" vertical="top"/>
    </xf>
    <xf numFmtId="164" fontId="6" fillId="0" borderId="1" xfId="1" applyFont="1" applyBorder="1" applyAlignment="1">
      <alignment horizontal="right" vertical="top" wrapText="1"/>
    </xf>
    <xf numFmtId="0" fontId="5" fillId="0" borderId="0" xfId="0" applyFont="1"/>
    <xf numFmtId="164" fontId="11" fillId="0" borderId="1" xfId="1" applyFont="1" applyBorder="1" applyAlignment="1">
      <alignment horizontal="right" wrapText="1"/>
    </xf>
    <xf numFmtId="0" fontId="9" fillId="0" borderId="1" xfId="0" applyFont="1" applyBorder="1" applyAlignment="1">
      <alignment horizontal="right" vertical="center" wrapText="1"/>
    </xf>
    <xf numFmtId="164" fontId="9" fillId="0" borderId="1" xfId="1" applyFont="1" applyBorder="1" applyAlignment="1">
      <alignment horizontal="right" vertical="top"/>
    </xf>
    <xf numFmtId="0" fontId="9" fillId="0" borderId="1" xfId="0" applyFont="1" applyBorder="1" applyAlignment="1">
      <alignment vertical="top"/>
    </xf>
    <xf numFmtId="164" fontId="9" fillId="0" borderId="1" xfId="1" applyFont="1" applyBorder="1" applyAlignment="1">
      <alignment vertical="top"/>
    </xf>
    <xf numFmtId="0" fontId="9" fillId="0" borderId="0" xfId="0" applyFont="1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64" fontId="9" fillId="0" borderId="0" xfId="1" applyFont="1"/>
    <xf numFmtId="164" fontId="6" fillId="0" borderId="0" xfId="1" applyFont="1"/>
    <xf numFmtId="164" fontId="1" fillId="0" borderId="0" xfId="1" applyFont="1" applyBorder="1"/>
    <xf numFmtId="164" fontId="0" fillId="0" borderId="0" xfId="1" applyFont="1"/>
    <xf numFmtId="0" fontId="1" fillId="0" borderId="1" xfId="0" applyFont="1" applyBorder="1" applyAlignment="1">
      <alignment horizontal="left" vertical="top" wrapText="1"/>
    </xf>
    <xf numFmtId="164" fontId="6" fillId="0" borderId="0" xfId="0" applyNumberFormat="1" applyFont="1" applyAlignment="1">
      <alignment horizontal="right" vertical="center" wrapText="1"/>
    </xf>
    <xf numFmtId="4" fontId="6" fillId="0" borderId="0" xfId="0" applyNumberFormat="1" applyFont="1"/>
    <xf numFmtId="43" fontId="1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1" applyFont="1" applyAlignment="1">
      <alignment wrapText="1"/>
    </xf>
    <xf numFmtId="0" fontId="1" fillId="0" borderId="1" xfId="0" applyFont="1" applyBorder="1" applyAlignment="1">
      <alignment horizontal="center" vertical="center"/>
    </xf>
    <xf numFmtId="165" fontId="1" fillId="0" borderId="1" xfId="1" applyNumberFormat="1" applyFont="1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 wrapText="1"/>
    </xf>
    <xf numFmtId="164" fontId="1" fillId="0" borderId="1" xfId="1" applyFont="1" applyBorder="1" applyAlignment="1">
      <alignment horizontal="right" vertical="center"/>
    </xf>
    <xf numFmtId="164" fontId="1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165" fontId="5" fillId="0" borderId="1" xfId="1" applyNumberFormat="1" applyFont="1" applyBorder="1"/>
    <xf numFmtId="0" fontId="5" fillId="0" borderId="1" xfId="1" applyNumberFormat="1" applyFont="1" applyBorder="1" applyAlignment="1">
      <alignment wrapText="1"/>
    </xf>
    <xf numFmtId="164" fontId="5" fillId="0" borderId="1" xfId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5" fillId="0" borderId="2" xfId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164" fontId="5" fillId="0" borderId="1" xfId="1" applyFont="1" applyBorder="1" applyAlignment="1">
      <alignment horizontal="right" vertical="top" wrapText="1"/>
    </xf>
    <xf numFmtId="0" fontId="9" fillId="0" borderId="1" xfId="0" applyFont="1" applyBorder="1" applyAlignment="1">
      <alignment horizontal="right" vertical="top" wrapText="1"/>
    </xf>
    <xf numFmtId="164" fontId="9" fillId="0" borderId="1" xfId="1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1" applyFont="1" applyBorder="1" applyAlignment="1">
      <alignment wrapText="1"/>
    </xf>
    <xf numFmtId="0" fontId="1" fillId="0" borderId="1" xfId="0" applyFont="1" applyBorder="1" applyAlignment="1">
      <alignment wrapText="1"/>
    </xf>
    <xf numFmtId="164" fontId="1" fillId="0" borderId="1" xfId="1" applyFont="1" applyBorder="1"/>
    <xf numFmtId="0" fontId="5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3" fontId="6" fillId="0" borderId="1" xfId="7" applyFont="1" applyBorder="1"/>
    <xf numFmtId="43" fontId="6" fillId="0" borderId="1" xfId="7" applyFont="1" applyBorder="1" applyAlignment="1">
      <alignment vertical="top"/>
    </xf>
    <xf numFmtId="43" fontId="6" fillId="0" borderId="0" xfId="7" applyFont="1" applyAlignment="1">
      <alignment vertical="top"/>
    </xf>
    <xf numFmtId="43" fontId="9" fillId="0" borderId="1" xfId="7" applyFont="1" applyBorder="1"/>
    <xf numFmtId="164" fontId="0" fillId="0" borderId="0" xfId="1" applyFont="1" applyAlignment="1">
      <alignment wrapText="1"/>
    </xf>
    <xf numFmtId="164" fontId="5" fillId="0" borderId="1" xfId="1" applyFont="1" applyBorder="1"/>
    <xf numFmtId="0" fontId="9" fillId="0" borderId="1" xfId="0" applyFont="1" applyBorder="1" applyAlignment="1">
      <alignment horizontal="center" wrapText="1"/>
    </xf>
    <xf numFmtId="164" fontId="9" fillId="0" borderId="1" xfId="1" applyFont="1" applyBorder="1"/>
    <xf numFmtId="10" fontId="1" fillId="0" borderId="0" xfId="17" applyNumberFormat="1" applyFont="1"/>
    <xf numFmtId="4" fontId="9" fillId="0" borderId="0" xfId="0" applyNumberFormat="1" applyFont="1" applyAlignment="1">
      <alignment horizontal="center" vertical="center"/>
    </xf>
    <xf numFmtId="164" fontId="6" fillId="0" borderId="1" xfId="1" applyFont="1" applyBorder="1"/>
    <xf numFmtId="0" fontId="5" fillId="0" borderId="1" xfId="0" applyFont="1" applyBorder="1" applyAlignment="1">
      <alignment wrapText="1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 wrapText="1"/>
    </xf>
    <xf numFmtId="164" fontId="0" fillId="0" borderId="0" xfId="1" applyFont="1" applyAlignment="1">
      <alignment horizontal="center" vertical="center"/>
    </xf>
    <xf numFmtId="164" fontId="3" fillId="0" borderId="0" xfId="1" applyFont="1"/>
    <xf numFmtId="164" fontId="17" fillId="0" borderId="0" xfId="1" applyFont="1"/>
    <xf numFmtId="0" fontId="5" fillId="0" borderId="9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18">
    <cellStyle name="Comma" xfId="1" builtinId="3"/>
    <cellStyle name="Comma 2" xfId="7" xr:uid="{00000000-0005-0000-0000-000001000000}"/>
    <cellStyle name="Comma 3" xfId="8" xr:uid="{00000000-0005-0000-0000-000002000000}"/>
    <cellStyle name="Comma 4" xfId="9" xr:uid="{00000000-0005-0000-0000-000003000000}"/>
    <cellStyle name="Comma 5" xfId="4" xr:uid="{00000000-0005-0000-0000-000004000000}"/>
    <cellStyle name="Normal" xfId="0" builtinId="0"/>
    <cellStyle name="Normal 2" xfId="10" xr:uid="{00000000-0005-0000-0000-000006000000}"/>
    <cellStyle name="Normal 3" xfId="3" xr:uid="{00000000-0005-0000-0000-000007000000}"/>
    <cellStyle name="Normal 32" xfId="11" xr:uid="{00000000-0005-0000-0000-000008000000}"/>
    <cellStyle name="Normal 4" xfId="2" xr:uid="{00000000-0005-0000-0000-000009000000}"/>
    <cellStyle name="Normal 47" xfId="12" xr:uid="{00000000-0005-0000-0000-00000A000000}"/>
    <cellStyle name="Normal 5" xfId="13" xr:uid="{00000000-0005-0000-0000-00000B000000}"/>
    <cellStyle name="Normal 50" xfId="5" xr:uid="{00000000-0005-0000-0000-00000C000000}"/>
    <cellStyle name="Normal 6" xfId="14" xr:uid="{00000000-0005-0000-0000-00000D000000}"/>
    <cellStyle name="Normal 61" xfId="15" xr:uid="{00000000-0005-0000-0000-00000E000000}"/>
    <cellStyle name="Normal 7" xfId="16" xr:uid="{00000000-0005-0000-0000-00000F000000}"/>
    <cellStyle name="Percent" xfId="17" builtinId="5"/>
    <cellStyle name="Percent 2" xfId="6" xr:uid="{00000000-0005-0000-0000-000010000000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229483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2A20F-FDA6-DA02-A4CB-8922330E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25483" cy="819264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12</xdr:row>
      <xdr:rowOff>171450</xdr:rowOff>
    </xdr:from>
    <xdr:to>
      <xdr:col>9</xdr:col>
      <xdr:colOff>542925</xdr:colOff>
      <xdr:row>20</xdr:row>
      <xdr:rowOff>104775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38FA604-5217-737F-CFD1-C1707EDE52D4}"/>
            </a:ext>
          </a:extLst>
        </xdr:cNvPr>
        <xdr:cNvSpPr/>
      </xdr:nvSpPr>
      <xdr:spPr>
        <a:xfrm>
          <a:off x="676275" y="2457450"/>
          <a:ext cx="5353050" cy="1457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411164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D42DF-D6CC-8996-BE72-D2F52E42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83964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C8FA8C-2F4D-CE34-AE22-92A6A78D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9A010-8AD4-9312-A8AF-402451DD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6BE2F-C420-118A-CF69-C61D22614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44032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43</xdr:col>
      <xdr:colOff>163564</xdr:colOff>
      <xdr:row>44</xdr:row>
      <xdr:rowOff>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973D79-1B66-8FFE-0C98-EBE67ABC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30400" y="2476500"/>
          <a:ext cx="11745964" cy="59063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220637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FF0A7-2EA3-E492-F77D-8E9EA81A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93437" cy="843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106321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679A0-E282-C5D8-1EA6-A8855C51B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79121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49163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9740D-8EE6-2C29-F953-61D1800E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21963" cy="896427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9" totalsRowShown="0" headerRowDxfId="6" dataDxfId="5" headerRowCellStyle="Comma" dataCellStyle="Comma">
  <autoFilter ref="A1:F9" xr:uid="{00000000-0009-0000-0100-000001000000}"/>
  <sortState xmlns:xlrd2="http://schemas.microsoft.com/office/spreadsheetml/2017/richdata2" ref="A2:D8">
    <sortCondition ref="A1:A8"/>
  </sortState>
  <tableColumns count="6">
    <tableColumn id="1" xr3:uid="{00000000-0010-0000-0000-000001000000}" name="SR. NO."/>
    <tableColumn id="2" xr3:uid="{00000000-0010-0000-0000-000002000000}" name="AREA IN SQ. M." dataDxfId="4" dataCellStyle="Comma"/>
    <tableColumn id="3" xr3:uid="{00000000-0010-0000-0000-000003000000}" name="VALUE " dataDxfId="3" dataCellStyle="Comma"/>
    <tableColumn id="4" xr3:uid="{00000000-0010-0000-0000-000004000000}" name="RATE/ SQ. M." dataDxfId="2" dataCellStyle="Comma"/>
    <tableColumn id="5" xr3:uid="{74AE99A4-8AE1-43A1-9D1A-0FEEAC0713F4}" name="Structure" dataDxfId="1" dataCellStyle="Comma"/>
    <tableColumn id="6" xr3:uid="{C33A4B51-D9E6-4193-856F-B917328808A8}" name="Structure Value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0"/>
  <sheetViews>
    <sheetView workbookViewId="0">
      <pane xSplit="3" ySplit="7" topLeftCell="D8" activePane="bottomRight" state="frozen"/>
      <selection pane="topRight" activeCell="E1" sqref="E1"/>
      <selection pane="bottomLeft" activeCell="A7" sqref="A7"/>
      <selection pane="bottomRight" activeCell="G24" sqref="G24"/>
    </sheetView>
  </sheetViews>
  <sheetFormatPr defaultColWidth="9.140625" defaultRowHeight="16.5" x14ac:dyDescent="0.3"/>
  <cols>
    <col min="1" max="1" width="9.140625" style="1"/>
    <col min="2" max="2" width="19.42578125" style="2" customWidth="1"/>
    <col min="3" max="3" width="16.42578125" style="28" bestFit="1" customWidth="1"/>
    <col min="4" max="5" width="15" style="1" bestFit="1" customWidth="1"/>
    <col min="6" max="6" width="9" style="5" bestFit="1" customWidth="1"/>
    <col min="7" max="7" width="9.7109375" style="5" bestFit="1" customWidth="1"/>
    <col min="8" max="8" width="6" style="5" bestFit="1" customWidth="1"/>
    <col min="9" max="9" width="13.85546875" style="1" bestFit="1" customWidth="1"/>
    <col min="10" max="10" width="9" style="5" bestFit="1" customWidth="1"/>
    <col min="11" max="11" width="14.140625" style="1" bestFit="1" customWidth="1"/>
    <col min="12" max="13" width="16" style="5" bestFit="1" customWidth="1"/>
    <col min="14" max="14" width="13.28515625" style="5" bestFit="1" customWidth="1"/>
    <col min="15" max="16384" width="9.140625" style="1"/>
  </cols>
  <sheetData>
    <row r="1" spans="1:14" x14ac:dyDescent="0.3">
      <c r="B1" s="10" t="s">
        <v>14</v>
      </c>
      <c r="G1" s="1"/>
      <c r="I1" s="5"/>
      <c r="L1" s="1"/>
      <c r="M1" s="1"/>
      <c r="N1" s="1"/>
    </row>
    <row r="2" spans="1:14" x14ac:dyDescent="0.3">
      <c r="B2" s="19" t="s">
        <v>28</v>
      </c>
      <c r="C2" s="80">
        <v>72372.63</v>
      </c>
      <c r="D2" s="77" t="s">
        <v>30</v>
      </c>
      <c r="G2" s="1"/>
      <c r="I2" s="5"/>
      <c r="L2" s="1"/>
      <c r="M2" s="1"/>
      <c r="N2" s="1"/>
    </row>
    <row r="3" spans="1:14" x14ac:dyDescent="0.3">
      <c r="A3" s="18"/>
      <c r="B3" s="32" t="s">
        <v>9</v>
      </c>
      <c r="C3" s="33">
        <v>7000</v>
      </c>
      <c r="D3" s="20">
        <v>900</v>
      </c>
      <c r="E3" s="56"/>
      <c r="G3" s="1"/>
      <c r="I3" s="5"/>
      <c r="L3" s="1"/>
      <c r="M3" s="1"/>
      <c r="N3" s="1"/>
    </row>
    <row r="4" spans="1:14" x14ac:dyDescent="0.3">
      <c r="A4" s="18"/>
      <c r="B4" s="89" t="s">
        <v>19</v>
      </c>
      <c r="C4" s="90">
        <f>ROUND((C2*C3),0)</f>
        <v>506608410</v>
      </c>
      <c r="D4" s="90">
        <f>D3*C2</f>
        <v>65135367.000000007</v>
      </c>
      <c r="E4" s="28"/>
      <c r="F4" s="98"/>
      <c r="G4" s="1"/>
      <c r="I4" s="5"/>
      <c r="L4" s="1"/>
      <c r="M4" s="1"/>
      <c r="N4" s="1"/>
    </row>
    <row r="5" spans="1:14" x14ac:dyDescent="0.3">
      <c r="A5" s="18"/>
      <c r="B5" s="48"/>
      <c r="C5" s="49"/>
      <c r="D5" s="49"/>
      <c r="G5" s="1"/>
      <c r="I5" s="5"/>
      <c r="L5" s="1"/>
      <c r="M5" s="1"/>
      <c r="N5" s="1"/>
    </row>
    <row r="6" spans="1:14" x14ac:dyDescent="0.3">
      <c r="B6" s="10" t="s">
        <v>15</v>
      </c>
      <c r="G6" s="18"/>
      <c r="H6" s="18"/>
      <c r="I6" s="18"/>
      <c r="J6" s="18"/>
      <c r="K6" s="18"/>
      <c r="L6" s="18"/>
      <c r="M6" s="18"/>
      <c r="N6" s="18"/>
    </row>
    <row r="7" spans="1:14" s="3" customFormat="1" ht="38.25" x14ac:dyDescent="0.2">
      <c r="B7" s="4" t="s">
        <v>0</v>
      </c>
      <c r="C7" s="34" t="s">
        <v>110</v>
      </c>
      <c r="D7" s="4" t="s">
        <v>1</v>
      </c>
      <c r="E7" s="4" t="s">
        <v>3</v>
      </c>
      <c r="F7" s="4" t="s">
        <v>4</v>
      </c>
      <c r="G7" s="4" t="s">
        <v>8</v>
      </c>
      <c r="H7" s="4" t="s">
        <v>2</v>
      </c>
      <c r="I7" s="4" t="s">
        <v>5</v>
      </c>
      <c r="J7" s="4" t="s">
        <v>6</v>
      </c>
      <c r="K7" s="4" t="s">
        <v>17</v>
      </c>
      <c r="L7" s="4" t="s">
        <v>18</v>
      </c>
      <c r="M7" s="4" t="s">
        <v>7</v>
      </c>
      <c r="N7" s="29"/>
    </row>
    <row r="8" spans="1:14" s="3" customFormat="1" ht="12.75" x14ac:dyDescent="0.2">
      <c r="B8" s="4"/>
      <c r="C8" s="34" t="s">
        <v>109</v>
      </c>
      <c r="D8" s="4" t="s">
        <v>111</v>
      </c>
      <c r="E8" s="4"/>
      <c r="F8" s="4" t="s">
        <v>111</v>
      </c>
      <c r="G8" s="4" t="s">
        <v>112</v>
      </c>
      <c r="H8" s="4"/>
      <c r="I8" s="4"/>
      <c r="J8" s="4"/>
      <c r="K8" s="4" t="s">
        <v>112</v>
      </c>
      <c r="L8" s="4" t="s">
        <v>112</v>
      </c>
      <c r="M8" s="4" t="s">
        <v>112</v>
      </c>
      <c r="N8" s="29"/>
    </row>
    <row r="9" spans="1:14" s="3" customFormat="1" x14ac:dyDescent="0.2">
      <c r="B9" s="72" t="s">
        <v>92</v>
      </c>
      <c r="C9" s="73"/>
      <c r="D9" s="74"/>
      <c r="E9" s="74"/>
      <c r="F9" s="74"/>
      <c r="G9" s="75"/>
      <c r="H9" s="44"/>
      <c r="I9" s="44"/>
      <c r="J9" s="45"/>
      <c r="K9" s="45"/>
      <c r="L9" s="45"/>
      <c r="M9" s="45"/>
      <c r="N9" s="29"/>
    </row>
    <row r="10" spans="1:14" s="3" customFormat="1" x14ac:dyDescent="0.2">
      <c r="B10" s="53" t="s">
        <v>67</v>
      </c>
      <c r="C10" s="35">
        <v>3633.04</v>
      </c>
      <c r="D10" s="22">
        <v>2004</v>
      </c>
      <c r="E10" s="22">
        <v>2024</v>
      </c>
      <c r="F10" s="22">
        <v>60</v>
      </c>
      <c r="G10" s="39">
        <v>18000</v>
      </c>
      <c r="H10" s="30">
        <f t="shared" ref="H10:H28" si="0">E10-D10</f>
        <v>20</v>
      </c>
      <c r="I10" s="30">
        <f t="shared" ref="I10:I28" si="1">IF(H10&gt;=5,90*H10/F10,0)</f>
        <v>30</v>
      </c>
      <c r="J10" s="33">
        <f t="shared" ref="J10:J28" si="2">G10/100*I10</f>
        <v>5400</v>
      </c>
      <c r="K10" s="33">
        <f t="shared" ref="K10:K28" si="3">ROUND((G10-J10),0)</f>
        <v>12600</v>
      </c>
      <c r="L10" s="33">
        <f t="shared" ref="L10:L28" si="4">ROUND((K10*C10),0)</f>
        <v>45776304</v>
      </c>
      <c r="M10" s="33">
        <f t="shared" ref="M10:M28" si="5">ROUND((C10*G10),0)</f>
        <v>65394720</v>
      </c>
      <c r="N10" s="29"/>
    </row>
    <row r="11" spans="1:14" s="3" customFormat="1" x14ac:dyDescent="0.2">
      <c r="B11" s="53" t="s">
        <v>72</v>
      </c>
      <c r="C11" s="35">
        <f>2991.72+641.32</f>
        <v>3633.04</v>
      </c>
      <c r="D11" s="22">
        <v>2004</v>
      </c>
      <c r="E11" s="22">
        <v>2024</v>
      </c>
      <c r="F11" s="22">
        <v>60</v>
      </c>
      <c r="G11" s="39">
        <v>18000</v>
      </c>
      <c r="H11" s="30">
        <f t="shared" si="0"/>
        <v>20</v>
      </c>
      <c r="I11" s="30">
        <f t="shared" si="1"/>
        <v>30</v>
      </c>
      <c r="J11" s="33">
        <f t="shared" si="2"/>
        <v>5400</v>
      </c>
      <c r="K11" s="33">
        <f t="shared" si="3"/>
        <v>12600</v>
      </c>
      <c r="L11" s="33">
        <f t="shared" si="4"/>
        <v>45776304</v>
      </c>
      <c r="M11" s="33">
        <f t="shared" si="5"/>
        <v>65394720</v>
      </c>
      <c r="N11" s="29"/>
    </row>
    <row r="12" spans="1:14" s="3" customFormat="1" x14ac:dyDescent="0.2">
      <c r="B12" s="53" t="s">
        <v>68</v>
      </c>
      <c r="C12" s="35">
        <f>2155.29+1083.16</f>
        <v>3238.45</v>
      </c>
      <c r="D12" s="22">
        <v>2004</v>
      </c>
      <c r="E12" s="22">
        <v>2024</v>
      </c>
      <c r="F12" s="22">
        <v>60</v>
      </c>
      <c r="G12" s="39">
        <v>18000</v>
      </c>
      <c r="H12" s="30">
        <f t="shared" si="0"/>
        <v>20</v>
      </c>
      <c r="I12" s="30">
        <f t="shared" si="1"/>
        <v>30</v>
      </c>
      <c r="J12" s="33">
        <f t="shared" si="2"/>
        <v>5400</v>
      </c>
      <c r="K12" s="33">
        <f t="shared" si="3"/>
        <v>12600</v>
      </c>
      <c r="L12" s="33">
        <f t="shared" si="4"/>
        <v>40804470</v>
      </c>
      <c r="M12" s="33">
        <f t="shared" si="5"/>
        <v>58292100</v>
      </c>
      <c r="N12" s="29"/>
    </row>
    <row r="13" spans="1:14" s="3" customFormat="1" x14ac:dyDescent="0.2">
      <c r="B13" s="53" t="s">
        <v>69</v>
      </c>
      <c r="C13" s="35">
        <f>2155.29+1083.16</f>
        <v>3238.45</v>
      </c>
      <c r="D13" s="22">
        <v>2004</v>
      </c>
      <c r="E13" s="22">
        <v>2024</v>
      </c>
      <c r="F13" s="22">
        <v>60</v>
      </c>
      <c r="G13" s="39">
        <v>18000</v>
      </c>
      <c r="H13" s="30">
        <f t="shared" si="0"/>
        <v>20</v>
      </c>
      <c r="I13" s="30">
        <f t="shared" si="1"/>
        <v>30</v>
      </c>
      <c r="J13" s="33">
        <f t="shared" si="2"/>
        <v>5400</v>
      </c>
      <c r="K13" s="33">
        <f t="shared" si="3"/>
        <v>12600</v>
      </c>
      <c r="L13" s="33">
        <f t="shared" si="4"/>
        <v>40804470</v>
      </c>
      <c r="M13" s="33">
        <f t="shared" si="5"/>
        <v>58292100</v>
      </c>
      <c r="N13" s="29"/>
    </row>
    <row r="14" spans="1:14" s="3" customFormat="1" x14ac:dyDescent="0.2">
      <c r="B14" s="53" t="s">
        <v>94</v>
      </c>
      <c r="C14" s="35">
        <f>165.16+232.19</f>
        <v>397.35</v>
      </c>
      <c r="D14" s="22">
        <v>2004</v>
      </c>
      <c r="E14" s="22">
        <v>2024</v>
      </c>
      <c r="F14" s="22">
        <v>60</v>
      </c>
      <c r="G14" s="39">
        <v>18000</v>
      </c>
      <c r="H14" s="30">
        <f t="shared" si="0"/>
        <v>20</v>
      </c>
      <c r="I14" s="30">
        <f t="shared" si="1"/>
        <v>30</v>
      </c>
      <c r="J14" s="33">
        <f t="shared" si="2"/>
        <v>5400</v>
      </c>
      <c r="K14" s="33">
        <f t="shared" si="3"/>
        <v>12600</v>
      </c>
      <c r="L14" s="33">
        <f t="shared" si="4"/>
        <v>5006610</v>
      </c>
      <c r="M14" s="33">
        <f t="shared" si="5"/>
        <v>7152300</v>
      </c>
      <c r="N14" s="29"/>
    </row>
    <row r="15" spans="1:14" s="3" customFormat="1" x14ac:dyDescent="0.2">
      <c r="B15" s="72" t="s">
        <v>93</v>
      </c>
      <c r="C15" s="73"/>
      <c r="D15" s="74"/>
      <c r="E15" s="74"/>
      <c r="F15" s="74"/>
      <c r="G15" s="75"/>
      <c r="H15" s="44"/>
      <c r="I15" s="44"/>
      <c r="J15" s="45"/>
      <c r="K15" s="45"/>
      <c r="L15" s="45"/>
      <c r="M15" s="45"/>
      <c r="N15" s="29"/>
    </row>
    <row r="16" spans="1:14" s="3" customFormat="1" x14ac:dyDescent="0.2">
      <c r="B16" s="53" t="s">
        <v>72</v>
      </c>
      <c r="C16" s="35">
        <v>753.81</v>
      </c>
      <c r="D16" s="22">
        <v>2024</v>
      </c>
      <c r="E16" s="22">
        <v>2024</v>
      </c>
      <c r="F16" s="22">
        <v>60</v>
      </c>
      <c r="G16" s="39">
        <v>18000</v>
      </c>
      <c r="H16" s="30">
        <f t="shared" si="0"/>
        <v>0</v>
      </c>
      <c r="I16" s="30">
        <f t="shared" si="1"/>
        <v>0</v>
      </c>
      <c r="J16" s="33">
        <f t="shared" si="2"/>
        <v>0</v>
      </c>
      <c r="K16" s="33">
        <f t="shared" si="3"/>
        <v>18000</v>
      </c>
      <c r="L16" s="33">
        <f t="shared" si="4"/>
        <v>13568580</v>
      </c>
      <c r="M16" s="33">
        <f t="shared" si="5"/>
        <v>13568580</v>
      </c>
      <c r="N16" s="29"/>
    </row>
    <row r="17" spans="2:14" s="3" customFormat="1" x14ac:dyDescent="0.2">
      <c r="B17" s="53" t="s">
        <v>68</v>
      </c>
      <c r="C17" s="35">
        <v>819.33</v>
      </c>
      <c r="D17" s="22">
        <v>2024</v>
      </c>
      <c r="E17" s="22">
        <v>2024</v>
      </c>
      <c r="F17" s="22">
        <v>60</v>
      </c>
      <c r="G17" s="39">
        <v>18000</v>
      </c>
      <c r="H17" s="30">
        <f t="shared" si="0"/>
        <v>0</v>
      </c>
      <c r="I17" s="30">
        <f t="shared" si="1"/>
        <v>0</v>
      </c>
      <c r="J17" s="33">
        <f t="shared" si="2"/>
        <v>0</v>
      </c>
      <c r="K17" s="33">
        <f t="shared" si="3"/>
        <v>18000</v>
      </c>
      <c r="L17" s="33">
        <f t="shared" si="4"/>
        <v>14747940</v>
      </c>
      <c r="M17" s="33">
        <f t="shared" si="5"/>
        <v>14747940</v>
      </c>
      <c r="N17" s="29"/>
    </row>
    <row r="18" spans="2:14" s="3" customFormat="1" x14ac:dyDescent="0.2">
      <c r="B18" s="53" t="s">
        <v>95</v>
      </c>
      <c r="C18" s="35">
        <v>28.19</v>
      </c>
      <c r="D18" s="22">
        <v>2024</v>
      </c>
      <c r="E18" s="22">
        <v>2024</v>
      </c>
      <c r="F18" s="22">
        <v>60</v>
      </c>
      <c r="G18" s="39">
        <v>18000</v>
      </c>
      <c r="H18" s="30">
        <f t="shared" si="0"/>
        <v>0</v>
      </c>
      <c r="I18" s="30">
        <f t="shared" si="1"/>
        <v>0</v>
      </c>
      <c r="J18" s="33">
        <f t="shared" si="2"/>
        <v>0</v>
      </c>
      <c r="K18" s="33">
        <f t="shared" si="3"/>
        <v>18000</v>
      </c>
      <c r="L18" s="33">
        <f t="shared" si="4"/>
        <v>507420</v>
      </c>
      <c r="M18" s="33">
        <f t="shared" si="5"/>
        <v>507420</v>
      </c>
      <c r="N18" s="29"/>
    </row>
    <row r="19" spans="2:14" s="3" customFormat="1" x14ac:dyDescent="0.2">
      <c r="B19" s="72" t="s">
        <v>96</v>
      </c>
      <c r="C19" s="35"/>
      <c r="D19" s="74"/>
      <c r="E19" s="74"/>
      <c r="F19" s="74"/>
      <c r="G19" s="75"/>
      <c r="H19" s="44"/>
      <c r="I19" s="44"/>
      <c r="J19" s="45"/>
      <c r="K19" s="45"/>
      <c r="L19" s="45"/>
      <c r="M19" s="45"/>
      <c r="N19" s="29"/>
    </row>
    <row r="20" spans="2:14" s="3" customFormat="1" x14ac:dyDescent="0.3">
      <c r="B20" s="53" t="s">
        <v>72</v>
      </c>
      <c r="C20" s="79">
        <v>285.85000000000002</v>
      </c>
      <c r="D20" s="22">
        <v>2024</v>
      </c>
      <c r="E20" s="22">
        <v>2024</v>
      </c>
      <c r="F20" s="22">
        <v>60</v>
      </c>
      <c r="G20" s="39">
        <v>18000</v>
      </c>
      <c r="H20" s="30">
        <f t="shared" si="0"/>
        <v>0</v>
      </c>
      <c r="I20" s="30">
        <f t="shared" si="1"/>
        <v>0</v>
      </c>
      <c r="J20" s="33">
        <f t="shared" si="2"/>
        <v>0</v>
      </c>
      <c r="K20" s="33">
        <f t="shared" si="3"/>
        <v>18000</v>
      </c>
      <c r="L20" s="33">
        <f t="shared" si="4"/>
        <v>5145300</v>
      </c>
      <c r="M20" s="33">
        <f t="shared" si="5"/>
        <v>5145300</v>
      </c>
      <c r="N20" s="29"/>
    </row>
    <row r="21" spans="2:14" s="3" customFormat="1" x14ac:dyDescent="0.3">
      <c r="B21" s="53" t="s">
        <v>68</v>
      </c>
      <c r="C21" s="79">
        <v>336.25</v>
      </c>
      <c r="D21" s="22">
        <v>2024</v>
      </c>
      <c r="E21" s="22">
        <v>2024</v>
      </c>
      <c r="F21" s="22">
        <v>60</v>
      </c>
      <c r="G21" s="39">
        <v>18000</v>
      </c>
      <c r="H21" s="30">
        <f t="shared" si="0"/>
        <v>0</v>
      </c>
      <c r="I21" s="30">
        <f t="shared" si="1"/>
        <v>0</v>
      </c>
      <c r="J21" s="33">
        <f t="shared" si="2"/>
        <v>0</v>
      </c>
      <c r="K21" s="33">
        <f t="shared" si="3"/>
        <v>18000</v>
      </c>
      <c r="L21" s="33">
        <f t="shared" si="4"/>
        <v>6052500</v>
      </c>
      <c r="M21" s="33">
        <f t="shared" si="5"/>
        <v>6052500</v>
      </c>
      <c r="N21" s="29"/>
    </row>
    <row r="22" spans="2:14" s="3" customFormat="1" x14ac:dyDescent="0.3">
      <c r="B22" s="53" t="s">
        <v>95</v>
      </c>
      <c r="C22" s="79">
        <v>24.28</v>
      </c>
      <c r="D22" s="22">
        <v>2024</v>
      </c>
      <c r="E22" s="22">
        <v>2024</v>
      </c>
      <c r="F22" s="22">
        <v>60</v>
      </c>
      <c r="G22" s="39">
        <v>18000</v>
      </c>
      <c r="H22" s="30">
        <f t="shared" si="0"/>
        <v>0</v>
      </c>
      <c r="I22" s="30">
        <f t="shared" si="1"/>
        <v>0</v>
      </c>
      <c r="J22" s="33">
        <f t="shared" si="2"/>
        <v>0</v>
      </c>
      <c r="K22" s="33">
        <f t="shared" si="3"/>
        <v>18000</v>
      </c>
      <c r="L22" s="33">
        <f t="shared" si="4"/>
        <v>437040</v>
      </c>
      <c r="M22" s="33">
        <f t="shared" si="5"/>
        <v>437040</v>
      </c>
      <c r="N22" s="29"/>
    </row>
    <row r="23" spans="2:14" s="3" customFormat="1" x14ac:dyDescent="0.2">
      <c r="B23" s="72" t="s">
        <v>97</v>
      </c>
      <c r="C23" s="35"/>
      <c r="D23" s="22"/>
      <c r="E23" s="22"/>
      <c r="F23" s="22"/>
      <c r="G23" s="39"/>
      <c r="H23" s="30"/>
      <c r="I23" s="30"/>
      <c r="J23" s="33"/>
      <c r="K23" s="33"/>
      <c r="L23" s="33"/>
      <c r="M23" s="33"/>
      <c r="N23" s="29"/>
    </row>
    <row r="24" spans="2:14" s="3" customFormat="1" x14ac:dyDescent="0.3">
      <c r="B24" s="53" t="s">
        <v>72</v>
      </c>
      <c r="C24" s="79">
        <v>139.71</v>
      </c>
      <c r="D24" s="22">
        <v>2024</v>
      </c>
      <c r="E24" s="22">
        <v>2024</v>
      </c>
      <c r="F24" s="22">
        <v>60</v>
      </c>
      <c r="G24" s="39">
        <v>18000</v>
      </c>
      <c r="H24" s="30">
        <f t="shared" si="0"/>
        <v>0</v>
      </c>
      <c r="I24" s="30">
        <f t="shared" si="1"/>
        <v>0</v>
      </c>
      <c r="J24" s="33">
        <f t="shared" si="2"/>
        <v>0</v>
      </c>
      <c r="K24" s="33">
        <f t="shared" si="3"/>
        <v>18000</v>
      </c>
      <c r="L24" s="33">
        <f t="shared" si="4"/>
        <v>2514780</v>
      </c>
      <c r="M24" s="33">
        <f t="shared" si="5"/>
        <v>2514780</v>
      </c>
      <c r="N24" s="29"/>
    </row>
    <row r="25" spans="2:14" s="3" customFormat="1" x14ac:dyDescent="0.3">
      <c r="B25" s="53" t="s">
        <v>68</v>
      </c>
      <c r="C25" s="79">
        <v>165.19</v>
      </c>
      <c r="D25" s="22">
        <v>2024</v>
      </c>
      <c r="E25" s="22">
        <v>2024</v>
      </c>
      <c r="F25" s="22">
        <v>60</v>
      </c>
      <c r="G25" s="39">
        <v>18000</v>
      </c>
      <c r="H25" s="30">
        <f t="shared" si="0"/>
        <v>0</v>
      </c>
      <c r="I25" s="30">
        <f t="shared" si="1"/>
        <v>0</v>
      </c>
      <c r="J25" s="33">
        <f t="shared" si="2"/>
        <v>0</v>
      </c>
      <c r="K25" s="33">
        <f t="shared" si="3"/>
        <v>18000</v>
      </c>
      <c r="L25" s="33">
        <f t="shared" si="4"/>
        <v>2973420</v>
      </c>
      <c r="M25" s="33">
        <f t="shared" si="5"/>
        <v>2973420</v>
      </c>
      <c r="N25" s="29"/>
    </row>
    <row r="26" spans="2:14" s="3" customFormat="1" x14ac:dyDescent="0.3">
      <c r="B26" s="53" t="s">
        <v>95</v>
      </c>
      <c r="C26" s="80">
        <v>14.65</v>
      </c>
      <c r="D26" s="22">
        <v>2024</v>
      </c>
      <c r="E26" s="22">
        <v>2024</v>
      </c>
      <c r="F26" s="22">
        <v>60</v>
      </c>
      <c r="G26" s="39">
        <v>18000</v>
      </c>
      <c r="H26" s="30">
        <f t="shared" si="0"/>
        <v>0</v>
      </c>
      <c r="I26" s="30">
        <f t="shared" si="1"/>
        <v>0</v>
      </c>
      <c r="J26" s="33">
        <f t="shared" si="2"/>
        <v>0</v>
      </c>
      <c r="K26" s="33">
        <f t="shared" si="3"/>
        <v>18000</v>
      </c>
      <c r="L26" s="33">
        <f t="shared" si="4"/>
        <v>263700</v>
      </c>
      <c r="M26" s="33">
        <f t="shared" si="5"/>
        <v>263700</v>
      </c>
      <c r="N26" s="29"/>
    </row>
    <row r="27" spans="2:14" s="3" customFormat="1" x14ac:dyDescent="0.2">
      <c r="B27" s="72" t="s">
        <v>98</v>
      </c>
      <c r="C27" s="35"/>
      <c r="D27" s="22"/>
      <c r="E27" s="22"/>
      <c r="F27" s="22"/>
      <c r="G27" s="39"/>
      <c r="H27" s="30"/>
      <c r="I27" s="30"/>
      <c r="J27" s="33"/>
      <c r="K27" s="33"/>
      <c r="L27" s="33"/>
      <c r="M27" s="33"/>
      <c r="N27" s="29"/>
    </row>
    <row r="28" spans="2:14" s="3" customFormat="1" x14ac:dyDescent="0.3">
      <c r="B28" s="53" t="s">
        <v>72</v>
      </c>
      <c r="C28" s="80">
        <v>1378.94</v>
      </c>
      <c r="D28" s="22">
        <v>2024</v>
      </c>
      <c r="E28" s="22">
        <v>2024</v>
      </c>
      <c r="F28" s="22">
        <v>60</v>
      </c>
      <c r="G28" s="39">
        <v>15000</v>
      </c>
      <c r="H28" s="30">
        <f t="shared" si="0"/>
        <v>0</v>
      </c>
      <c r="I28" s="30">
        <f t="shared" si="1"/>
        <v>0</v>
      </c>
      <c r="J28" s="33">
        <f t="shared" si="2"/>
        <v>0</v>
      </c>
      <c r="K28" s="33">
        <f t="shared" si="3"/>
        <v>15000</v>
      </c>
      <c r="L28" s="33">
        <f t="shared" si="4"/>
        <v>20684100</v>
      </c>
      <c r="M28" s="33">
        <f t="shared" si="5"/>
        <v>20684100</v>
      </c>
      <c r="N28" s="29"/>
    </row>
    <row r="29" spans="2:14" x14ac:dyDescent="0.3">
      <c r="B29" s="72" t="s">
        <v>99</v>
      </c>
      <c r="C29" s="35"/>
      <c r="D29" s="22"/>
      <c r="E29" s="22"/>
      <c r="F29" s="22"/>
      <c r="G29" s="39"/>
      <c r="H29" s="30"/>
      <c r="I29" s="30"/>
      <c r="J29" s="33"/>
      <c r="K29" s="33"/>
      <c r="L29" s="33"/>
      <c r="M29" s="33"/>
      <c r="N29" s="18"/>
    </row>
    <row r="30" spans="2:14" x14ac:dyDescent="0.3">
      <c r="B30" s="53" t="s">
        <v>89</v>
      </c>
      <c r="C30" s="80">
        <f>3.14*15*15</f>
        <v>706.5</v>
      </c>
      <c r="D30" s="22">
        <v>2024</v>
      </c>
      <c r="E30" s="22">
        <v>2024</v>
      </c>
      <c r="F30" s="22">
        <v>50</v>
      </c>
      <c r="G30" s="39">
        <v>10000</v>
      </c>
      <c r="H30" s="30">
        <f t="shared" ref="H30:H32" si="6">E30-D30</f>
        <v>0</v>
      </c>
      <c r="I30" s="30">
        <f t="shared" ref="I30:I32" si="7">IF(H30&gt;=5,90*H30/F30,0)</f>
        <v>0</v>
      </c>
      <c r="J30" s="33">
        <f t="shared" ref="J30:J32" si="8">G30/100*I30</f>
        <v>0</v>
      </c>
      <c r="K30" s="33">
        <f t="shared" ref="K30:K32" si="9">ROUND((G30-J30),0)</f>
        <v>10000</v>
      </c>
      <c r="L30" s="33">
        <f t="shared" ref="L30:L32" si="10">ROUND((K30*C30),0)</f>
        <v>7065000</v>
      </c>
      <c r="M30" s="33">
        <f t="shared" ref="M30:M32" si="11">ROUND((C30*G30),0)</f>
        <v>7065000</v>
      </c>
      <c r="N30" s="18"/>
    </row>
    <row r="31" spans="2:14" x14ac:dyDescent="0.3">
      <c r="B31" s="72" t="s">
        <v>100</v>
      </c>
      <c r="C31" s="35"/>
      <c r="D31" s="22"/>
      <c r="E31" s="22"/>
      <c r="F31" s="22"/>
      <c r="G31" s="39"/>
      <c r="H31" s="30"/>
      <c r="I31" s="30"/>
      <c r="J31" s="33"/>
      <c r="K31" s="33"/>
      <c r="L31" s="33"/>
      <c r="M31" s="33"/>
      <c r="N31" s="18"/>
    </row>
    <row r="32" spans="2:14" x14ac:dyDescent="0.3">
      <c r="B32" s="53" t="s">
        <v>91</v>
      </c>
      <c r="C32" s="80">
        <f>9.05*17.48</f>
        <v>158.19400000000002</v>
      </c>
      <c r="D32" s="22">
        <v>2024</v>
      </c>
      <c r="E32" s="22">
        <v>2024</v>
      </c>
      <c r="F32" s="22">
        <v>50</v>
      </c>
      <c r="G32" s="39">
        <v>10000</v>
      </c>
      <c r="H32" s="30">
        <f t="shared" si="6"/>
        <v>0</v>
      </c>
      <c r="I32" s="30">
        <f t="shared" si="7"/>
        <v>0</v>
      </c>
      <c r="J32" s="33">
        <f t="shared" si="8"/>
        <v>0</v>
      </c>
      <c r="K32" s="33">
        <f t="shared" si="9"/>
        <v>10000</v>
      </c>
      <c r="L32" s="33">
        <f t="shared" si="10"/>
        <v>1581940</v>
      </c>
      <c r="M32" s="33">
        <f t="shared" si="11"/>
        <v>1581940</v>
      </c>
      <c r="N32" s="18"/>
    </row>
    <row r="33" spans="2:14" x14ac:dyDescent="0.3">
      <c r="B33" s="72" t="s">
        <v>101</v>
      </c>
      <c r="C33" s="35"/>
      <c r="D33" s="22"/>
      <c r="E33" s="22"/>
      <c r="F33" s="22"/>
      <c r="G33" s="39"/>
      <c r="H33" s="30"/>
      <c r="I33" s="30"/>
      <c r="J33" s="33"/>
      <c r="K33" s="33"/>
      <c r="L33" s="33"/>
      <c r="M33" s="33"/>
      <c r="N33" s="18"/>
    </row>
    <row r="34" spans="2:14" x14ac:dyDescent="0.3">
      <c r="B34" s="53" t="s">
        <v>102</v>
      </c>
      <c r="C34" s="80">
        <f>15*5</f>
        <v>75</v>
      </c>
      <c r="D34" s="22">
        <v>2024</v>
      </c>
      <c r="E34" s="22">
        <v>2024</v>
      </c>
      <c r="F34" s="22">
        <v>50</v>
      </c>
      <c r="G34" s="39">
        <v>5000</v>
      </c>
      <c r="H34" s="30">
        <f t="shared" ref="H34:H38" si="12">E34-D34</f>
        <v>0</v>
      </c>
      <c r="I34" s="30">
        <f t="shared" ref="I34:I38" si="13">IF(H34&gt;=5,90*H34/F34,0)</f>
        <v>0</v>
      </c>
      <c r="J34" s="33">
        <f t="shared" ref="J34:J38" si="14">G34/100*I34</f>
        <v>0</v>
      </c>
      <c r="K34" s="33">
        <f t="shared" ref="K34:K38" si="15">ROUND((G34-J34),0)</f>
        <v>5000</v>
      </c>
      <c r="L34" s="33">
        <f t="shared" ref="L34:L38" si="16">ROUND((K34*C34),0)</f>
        <v>375000</v>
      </c>
      <c r="M34" s="33">
        <f t="shared" ref="M34:M38" si="17">ROUND((C34*G34),0)</f>
        <v>375000</v>
      </c>
      <c r="N34" s="18"/>
    </row>
    <row r="35" spans="2:14" x14ac:dyDescent="0.3">
      <c r="B35" s="72" t="s">
        <v>103</v>
      </c>
      <c r="C35" s="35"/>
      <c r="D35" s="22"/>
      <c r="E35" s="22"/>
      <c r="F35" s="22"/>
      <c r="G35" s="39"/>
      <c r="H35" s="30"/>
      <c r="I35" s="30"/>
      <c r="J35" s="33"/>
      <c r="K35" s="33"/>
      <c r="L35" s="33"/>
      <c r="M35" s="33"/>
      <c r="N35" s="18"/>
    </row>
    <row r="36" spans="2:14" x14ac:dyDescent="0.3">
      <c r="B36" s="53" t="s">
        <v>88</v>
      </c>
      <c r="C36" s="80">
        <f>19*16</f>
        <v>304</v>
      </c>
      <c r="D36" s="22">
        <v>2024</v>
      </c>
      <c r="E36" s="22">
        <v>2024</v>
      </c>
      <c r="F36" s="22">
        <v>50</v>
      </c>
      <c r="G36" s="39">
        <v>5000</v>
      </c>
      <c r="H36" s="30">
        <f t="shared" si="12"/>
        <v>0</v>
      </c>
      <c r="I36" s="30">
        <f t="shared" si="13"/>
        <v>0</v>
      </c>
      <c r="J36" s="33">
        <f t="shared" si="14"/>
        <v>0</v>
      </c>
      <c r="K36" s="33">
        <f t="shared" si="15"/>
        <v>5000</v>
      </c>
      <c r="L36" s="33">
        <f t="shared" si="16"/>
        <v>1520000</v>
      </c>
      <c r="M36" s="33">
        <f t="shared" si="17"/>
        <v>1520000</v>
      </c>
      <c r="N36" s="18"/>
    </row>
    <row r="37" spans="2:14" x14ac:dyDescent="0.3">
      <c r="B37" s="72" t="s">
        <v>104</v>
      </c>
      <c r="C37" s="35"/>
      <c r="D37" s="22"/>
      <c r="E37" s="22"/>
      <c r="F37" s="22"/>
      <c r="G37" s="39"/>
      <c r="H37" s="30"/>
      <c r="I37" s="30"/>
      <c r="J37" s="33"/>
      <c r="K37" s="33"/>
      <c r="L37" s="33"/>
      <c r="M37" s="33"/>
      <c r="N37" s="18"/>
    </row>
    <row r="38" spans="2:14" x14ac:dyDescent="0.3">
      <c r="B38" s="53" t="s">
        <v>87</v>
      </c>
      <c r="C38" s="80">
        <f>(8.5*33)+(1.5*15)</f>
        <v>303</v>
      </c>
      <c r="D38" s="22">
        <v>2024</v>
      </c>
      <c r="E38" s="22">
        <v>2024</v>
      </c>
      <c r="F38" s="22">
        <v>60</v>
      </c>
      <c r="G38" s="39">
        <v>12000</v>
      </c>
      <c r="H38" s="30">
        <f t="shared" si="12"/>
        <v>0</v>
      </c>
      <c r="I38" s="30">
        <f t="shared" si="13"/>
        <v>0</v>
      </c>
      <c r="J38" s="33">
        <f t="shared" si="14"/>
        <v>0</v>
      </c>
      <c r="K38" s="33">
        <f t="shared" si="15"/>
        <v>12000</v>
      </c>
      <c r="L38" s="33">
        <f t="shared" si="16"/>
        <v>3636000</v>
      </c>
      <c r="M38" s="33">
        <f t="shared" si="17"/>
        <v>3636000</v>
      </c>
      <c r="N38" s="18"/>
    </row>
    <row r="39" spans="2:14" s="40" customFormat="1" x14ac:dyDescent="0.3">
      <c r="B39" s="47" t="s">
        <v>21</v>
      </c>
      <c r="C39" s="41">
        <f>SUM(C9:C38)</f>
        <v>19633.223999999998</v>
      </c>
      <c r="D39" s="42"/>
      <c r="E39" s="42"/>
      <c r="F39" s="42"/>
      <c r="G39" s="43"/>
      <c r="H39" s="44"/>
      <c r="I39" s="44"/>
      <c r="J39" s="45"/>
      <c r="K39" s="45"/>
      <c r="L39" s="41">
        <f t="shared" ref="L39:M39" si="18">SUM(L9:L38)</f>
        <v>259240878</v>
      </c>
      <c r="M39" s="41">
        <f t="shared" si="18"/>
        <v>335598660</v>
      </c>
      <c r="N39" s="46"/>
    </row>
    <row r="40" spans="2:14" x14ac:dyDescent="0.3">
      <c r="B40" s="7"/>
      <c r="C40" s="36"/>
      <c r="D40" s="54"/>
      <c r="E40" s="26"/>
      <c r="F40" s="26"/>
      <c r="G40" s="27"/>
      <c r="H40" s="31"/>
      <c r="I40" s="31"/>
      <c r="J40" s="21"/>
      <c r="K40" s="21"/>
      <c r="L40" s="21">
        <f>L39+D4</f>
        <v>324376245</v>
      </c>
      <c r="M40" s="21"/>
      <c r="N40" s="31"/>
    </row>
    <row r="41" spans="2:14" x14ac:dyDescent="0.3">
      <c r="B41" s="7"/>
      <c r="C41" s="37"/>
      <c r="D41" s="8"/>
      <c r="E41" s="8"/>
      <c r="F41" s="9"/>
      <c r="G41" s="9"/>
      <c r="H41" s="9"/>
      <c r="I41" s="8"/>
      <c r="J41" s="12"/>
      <c r="K41" s="13"/>
      <c r="L41" s="21"/>
      <c r="M41" s="21"/>
      <c r="N41" s="9"/>
    </row>
    <row r="42" spans="2:14" x14ac:dyDescent="0.3">
      <c r="B42" s="100" t="s">
        <v>105</v>
      </c>
      <c r="C42" s="100"/>
      <c r="D42" s="8"/>
      <c r="E42" s="8"/>
      <c r="F42" s="9"/>
      <c r="G42" s="9"/>
      <c r="H42" s="9"/>
      <c r="I42" s="8"/>
      <c r="J42" s="12"/>
      <c r="K42" s="13"/>
      <c r="L42" s="21"/>
      <c r="M42" s="21"/>
      <c r="N42" s="9"/>
    </row>
    <row r="43" spans="2:14" x14ac:dyDescent="0.3">
      <c r="B43" s="19" t="s">
        <v>106</v>
      </c>
      <c r="C43" s="83">
        <v>0</v>
      </c>
      <c r="D43" s="8"/>
      <c r="E43" s="8"/>
      <c r="F43" s="9"/>
      <c r="G43" s="9"/>
      <c r="H43" s="9"/>
      <c r="I43" s="8"/>
      <c r="J43" s="12"/>
      <c r="K43" s="13"/>
      <c r="L43" s="21"/>
      <c r="M43" s="21"/>
      <c r="N43" s="9"/>
    </row>
    <row r="44" spans="2:14" x14ac:dyDescent="0.3">
      <c r="B44" s="82" t="s">
        <v>9</v>
      </c>
      <c r="C44" s="84">
        <v>0</v>
      </c>
      <c r="D44" s="8"/>
      <c r="E44" s="8"/>
      <c r="F44" s="9"/>
      <c r="G44" s="9"/>
      <c r="H44" s="9"/>
      <c r="I44" s="8"/>
      <c r="J44" s="12"/>
      <c r="K44" s="13"/>
      <c r="L44" s="21"/>
      <c r="M44" s="21"/>
      <c r="N44" s="9"/>
    </row>
    <row r="45" spans="2:14" x14ac:dyDescent="0.3">
      <c r="B45" s="82" t="s">
        <v>10</v>
      </c>
      <c r="C45" s="83">
        <f>ROUND((C43*C44),0)</f>
        <v>0</v>
      </c>
      <c r="D45" s="8"/>
      <c r="E45" s="8"/>
      <c r="F45" s="9"/>
      <c r="G45" s="9"/>
      <c r="H45" s="9"/>
      <c r="I45" s="8"/>
      <c r="J45" s="12"/>
      <c r="K45" s="13"/>
      <c r="L45" s="21"/>
      <c r="M45" s="21"/>
      <c r="N45" s="9"/>
    </row>
    <row r="46" spans="2:14" x14ac:dyDescent="0.3">
      <c r="B46" s="7"/>
      <c r="C46" s="85"/>
      <c r="D46" s="8"/>
      <c r="E46" s="8"/>
      <c r="F46" s="9"/>
      <c r="G46" s="9"/>
      <c r="H46" s="9"/>
      <c r="I46" s="8"/>
      <c r="J46" s="12"/>
      <c r="K46" s="13"/>
      <c r="L46" s="21"/>
      <c r="M46" s="21"/>
      <c r="N46" s="9"/>
    </row>
    <row r="47" spans="2:14" x14ac:dyDescent="0.3">
      <c r="B47" s="101" t="s">
        <v>107</v>
      </c>
      <c r="C47" s="102"/>
      <c r="D47" s="8"/>
      <c r="E47" s="8"/>
      <c r="F47" s="9"/>
      <c r="G47" s="9"/>
      <c r="H47" s="9"/>
      <c r="I47" s="8"/>
      <c r="J47" s="12"/>
      <c r="K47" s="13"/>
      <c r="L47" s="21"/>
      <c r="M47" s="21"/>
      <c r="N47" s="9"/>
    </row>
    <row r="48" spans="2:14" x14ac:dyDescent="0.3">
      <c r="B48" s="19" t="s">
        <v>108</v>
      </c>
      <c r="C48" s="83">
        <f>C2-C39</f>
        <v>52739.406000000003</v>
      </c>
      <c r="D48" s="8"/>
      <c r="E48" s="8"/>
      <c r="F48" s="9"/>
      <c r="G48" s="9"/>
      <c r="H48" s="9"/>
      <c r="I48" s="8"/>
      <c r="J48" s="12"/>
      <c r="K48" s="13"/>
      <c r="L48" s="21"/>
      <c r="M48" s="21"/>
      <c r="N48" s="9"/>
    </row>
    <row r="49" spans="2:14" x14ac:dyDescent="0.3">
      <c r="B49" s="82" t="s">
        <v>9</v>
      </c>
      <c r="C49" s="84">
        <v>0</v>
      </c>
      <c r="D49" s="8"/>
      <c r="E49" s="8"/>
      <c r="F49" s="9"/>
      <c r="G49" s="9"/>
      <c r="H49" s="9"/>
      <c r="I49" s="8"/>
      <c r="J49" s="12"/>
      <c r="K49" s="13"/>
      <c r="L49" s="21"/>
      <c r="M49" s="21"/>
      <c r="N49" s="9"/>
    </row>
    <row r="50" spans="2:14" x14ac:dyDescent="0.3">
      <c r="B50" s="82" t="s">
        <v>10</v>
      </c>
      <c r="C50" s="86">
        <v>25000000</v>
      </c>
      <c r="D50" s="8"/>
      <c r="E50" s="8"/>
      <c r="F50" s="9"/>
      <c r="G50" s="9"/>
      <c r="H50" s="9"/>
      <c r="I50" s="8"/>
      <c r="J50" s="12"/>
      <c r="K50" s="13"/>
      <c r="L50" s="21"/>
      <c r="M50" s="21"/>
      <c r="N50" s="9"/>
    </row>
    <row r="51" spans="2:14" x14ac:dyDescent="0.3">
      <c r="B51" s="7"/>
      <c r="C51" s="37"/>
      <c r="D51" s="8"/>
      <c r="E51" s="8"/>
      <c r="F51" s="9"/>
      <c r="G51" s="9"/>
      <c r="H51" s="9"/>
      <c r="I51" s="8"/>
      <c r="J51" s="12"/>
      <c r="K51" s="13"/>
      <c r="L51" s="21"/>
      <c r="M51" s="21"/>
      <c r="N51" s="9"/>
    </row>
    <row r="52" spans="2:14" x14ac:dyDescent="0.3">
      <c r="B52" s="7"/>
      <c r="C52" s="37"/>
      <c r="D52" s="8"/>
      <c r="E52" s="8"/>
      <c r="F52" s="9"/>
      <c r="G52" s="9"/>
      <c r="H52" s="9"/>
      <c r="I52" s="8"/>
      <c r="J52" s="12"/>
      <c r="K52" s="13"/>
      <c r="L52" s="21"/>
      <c r="M52" s="21"/>
      <c r="N52" s="9"/>
    </row>
    <row r="53" spans="2:14" x14ac:dyDescent="0.3">
      <c r="C53" s="38"/>
      <c r="D53" s="6"/>
      <c r="E53" s="17"/>
      <c r="G53" s="11"/>
      <c r="H53" s="1"/>
      <c r="I53" s="5"/>
      <c r="J53" s="17"/>
      <c r="K53" s="5"/>
      <c r="N53" s="1"/>
    </row>
    <row r="54" spans="2:14" x14ac:dyDescent="0.3">
      <c r="B54" s="79" t="s">
        <v>14</v>
      </c>
      <c r="C54" s="93">
        <f>C4</f>
        <v>506608410</v>
      </c>
      <c r="D54" s="55"/>
      <c r="E54" s="15"/>
      <c r="F54" s="15"/>
      <c r="G54" s="16"/>
      <c r="H54" s="1"/>
      <c r="I54" s="5"/>
      <c r="J54" s="14"/>
      <c r="K54" s="5"/>
      <c r="N54" s="1"/>
    </row>
    <row r="55" spans="2:14" x14ac:dyDescent="0.3">
      <c r="B55" s="79" t="s">
        <v>15</v>
      </c>
      <c r="C55" s="93">
        <f>L39</f>
        <v>259240878</v>
      </c>
      <c r="D55" s="55"/>
      <c r="E55" s="15"/>
      <c r="F55" s="15"/>
      <c r="G55" s="16"/>
      <c r="H55" s="1"/>
      <c r="I55" s="5"/>
      <c r="J55" s="16"/>
      <c r="K55" s="5"/>
      <c r="N55" s="1"/>
    </row>
    <row r="56" spans="2:14" ht="33" x14ac:dyDescent="0.3">
      <c r="B56" s="79" t="s">
        <v>20</v>
      </c>
      <c r="C56" s="93">
        <f>C45</f>
        <v>0</v>
      </c>
      <c r="D56" s="15"/>
      <c r="E56" s="15"/>
      <c r="F56" s="15"/>
      <c r="G56" s="16"/>
      <c r="H56" s="1"/>
      <c r="I56" s="5"/>
      <c r="J56" s="16"/>
      <c r="K56" s="5"/>
      <c r="N56" s="1"/>
    </row>
    <row r="57" spans="2:14" x14ac:dyDescent="0.3">
      <c r="B57" s="79" t="s">
        <v>13</v>
      </c>
      <c r="C57" s="93">
        <f>C50</f>
        <v>25000000</v>
      </c>
      <c r="D57" s="92" t="s">
        <v>120</v>
      </c>
      <c r="E57" s="15"/>
      <c r="F57" s="15"/>
      <c r="G57" s="16"/>
      <c r="H57" s="1"/>
      <c r="I57" s="5"/>
      <c r="J57" s="16"/>
      <c r="K57" s="5"/>
      <c r="N57" s="1"/>
    </row>
    <row r="58" spans="2:14" x14ac:dyDescent="0.3">
      <c r="B58" s="94" t="s">
        <v>29</v>
      </c>
      <c r="C58" s="90">
        <f>C54+C55+C56+C57</f>
        <v>790849288</v>
      </c>
      <c r="D58" s="51">
        <v>786465143</v>
      </c>
      <c r="E58" s="91">
        <f>C58/D58</f>
        <v>1.0055744937191704</v>
      </c>
      <c r="H58" s="1"/>
      <c r="I58" s="5"/>
      <c r="J58" s="1"/>
      <c r="K58" s="5"/>
      <c r="N58" s="1"/>
    </row>
    <row r="59" spans="2:14" x14ac:dyDescent="0.3">
      <c r="B59" s="94" t="s">
        <v>11</v>
      </c>
      <c r="C59" s="90">
        <f>ROUND((C58*0.9),0)</f>
        <v>711764359</v>
      </c>
      <c r="D59" s="51">
        <f>D58*0.9</f>
        <v>707818628.70000005</v>
      </c>
      <c r="E59" s="14"/>
      <c r="G59" s="23"/>
      <c r="H59" s="1"/>
      <c r="I59" s="5"/>
      <c r="J59" s="1"/>
      <c r="K59" s="5"/>
      <c r="N59" s="1"/>
    </row>
    <row r="60" spans="2:14" x14ac:dyDescent="0.3">
      <c r="B60" s="94" t="s">
        <v>12</v>
      </c>
      <c r="C60" s="90">
        <f>ROUND((C58*0.8),0)</f>
        <v>632679430</v>
      </c>
      <c r="D60" s="51">
        <f>D58*0.6</f>
        <v>471879085.80000001</v>
      </c>
      <c r="E60" s="14"/>
      <c r="G60" s="23"/>
      <c r="H60" s="1"/>
      <c r="I60" s="5"/>
      <c r="J60" s="1"/>
      <c r="K60" s="5"/>
      <c r="N60" s="1"/>
    </row>
    <row r="61" spans="2:14" x14ac:dyDescent="0.3">
      <c r="B61" s="94" t="s">
        <v>16</v>
      </c>
      <c r="C61" s="90">
        <f>ROUND((M39*0.9),0)</f>
        <v>302038794</v>
      </c>
      <c r="D61" s="51"/>
      <c r="E61" s="5"/>
      <c r="H61" s="1"/>
      <c r="I61" s="5"/>
      <c r="J61" s="1"/>
      <c r="K61" s="5"/>
      <c r="L61" s="24"/>
      <c r="N61" s="1"/>
    </row>
    <row r="62" spans="2:14" x14ac:dyDescent="0.3">
      <c r="C62" s="50"/>
      <c r="M62" s="24"/>
    </row>
    <row r="63" spans="2:14" x14ac:dyDescent="0.3">
      <c r="M63" s="24"/>
    </row>
    <row r="64" spans="2:14" x14ac:dyDescent="0.3">
      <c r="K64" s="25"/>
      <c r="M64" s="24"/>
    </row>
    <row r="65" spans="8:13" x14ac:dyDescent="0.3">
      <c r="K65" s="25"/>
      <c r="M65" s="24"/>
    </row>
    <row r="66" spans="8:13" x14ac:dyDescent="0.3">
      <c r="H66" s="23"/>
      <c r="K66" s="25"/>
      <c r="M66" s="24"/>
    </row>
    <row r="67" spans="8:13" x14ac:dyDescent="0.3">
      <c r="K67" s="25"/>
      <c r="M67" s="24"/>
    </row>
    <row r="68" spans="8:13" x14ac:dyDescent="0.3">
      <c r="K68" s="25"/>
      <c r="M68" s="24"/>
    </row>
    <row r="69" spans="8:13" x14ac:dyDescent="0.3">
      <c r="K69" s="25"/>
      <c r="M69" s="24"/>
    </row>
    <row r="70" spans="8:13" x14ac:dyDescent="0.3">
      <c r="K70" s="25"/>
      <c r="M70" s="24"/>
    </row>
  </sheetData>
  <mergeCells count="2">
    <mergeCell ref="B42:C42"/>
    <mergeCell ref="B47:C4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25C9-2E2C-4533-9E1D-089D568A28C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AB4D-FF03-4242-B95E-DF90669DC6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7E9C1-5BB8-4993-B9B5-794B9F865602}">
  <sheetPr>
    <pageSetUpPr fitToPage="1"/>
  </sheetPr>
  <dimension ref="A1:N70"/>
  <sheetViews>
    <sheetView tabSelected="1" workbookViewId="0">
      <pane xSplit="3" ySplit="7" topLeftCell="D8" activePane="bottomRight" state="frozen"/>
      <selection pane="topRight" activeCell="E1" sqref="E1"/>
      <selection pane="bottomLeft" activeCell="A7" sqref="A7"/>
      <selection pane="bottomRight" activeCell="E55" sqref="E55"/>
    </sheetView>
  </sheetViews>
  <sheetFormatPr defaultColWidth="9.140625" defaultRowHeight="16.5" x14ac:dyDescent="0.3"/>
  <cols>
    <col min="1" max="1" width="9.140625" style="1"/>
    <col min="2" max="2" width="19.42578125" style="2" customWidth="1"/>
    <col min="3" max="3" width="16.42578125" style="28" bestFit="1" customWidth="1"/>
    <col min="4" max="5" width="15" style="1" bestFit="1" customWidth="1"/>
    <col min="6" max="6" width="9" style="5" bestFit="1" customWidth="1"/>
    <col min="7" max="7" width="9.7109375" style="5" bestFit="1" customWidth="1"/>
    <col min="8" max="8" width="6" style="5" bestFit="1" customWidth="1"/>
    <col min="9" max="9" width="13.85546875" style="1" bestFit="1" customWidth="1"/>
    <col min="10" max="10" width="9" style="5" bestFit="1" customWidth="1"/>
    <col min="11" max="11" width="14.140625" style="1" bestFit="1" customWidth="1"/>
    <col min="12" max="13" width="16" style="5" bestFit="1" customWidth="1"/>
    <col min="14" max="14" width="13.28515625" style="5" bestFit="1" customWidth="1"/>
    <col min="15" max="16384" width="9.140625" style="1"/>
  </cols>
  <sheetData>
    <row r="1" spans="1:14" x14ac:dyDescent="0.3">
      <c r="B1" s="10" t="s">
        <v>14</v>
      </c>
      <c r="G1" s="1"/>
      <c r="I1" s="5"/>
      <c r="L1" s="1"/>
      <c r="M1" s="1"/>
      <c r="N1" s="1"/>
    </row>
    <row r="2" spans="1:14" x14ac:dyDescent="0.3">
      <c r="B2" s="19" t="s">
        <v>28</v>
      </c>
      <c r="C2" s="80">
        <v>72372.63</v>
      </c>
      <c r="D2" s="77" t="s">
        <v>30</v>
      </c>
      <c r="G2" s="1"/>
      <c r="I2" s="5"/>
      <c r="L2" s="1"/>
      <c r="M2" s="1"/>
      <c r="N2" s="1"/>
    </row>
    <row r="3" spans="1:14" x14ac:dyDescent="0.3">
      <c r="A3" s="18"/>
      <c r="B3" s="32" t="s">
        <v>9</v>
      </c>
      <c r="C3" s="33">
        <v>7000</v>
      </c>
      <c r="D3" s="20">
        <v>900</v>
      </c>
      <c r="E3" s="56"/>
      <c r="G3" s="1"/>
      <c r="I3" s="5"/>
      <c r="L3" s="1"/>
      <c r="M3" s="1"/>
      <c r="N3" s="1"/>
    </row>
    <row r="4" spans="1:14" x14ac:dyDescent="0.3">
      <c r="A4" s="18"/>
      <c r="B4" s="89" t="s">
        <v>19</v>
      </c>
      <c r="C4" s="90">
        <f>ROUND((C2*C3),0)</f>
        <v>506608410</v>
      </c>
      <c r="D4" s="90">
        <f>D3*C2</f>
        <v>65135367.000000007</v>
      </c>
      <c r="E4" s="28"/>
      <c r="F4" s="98"/>
      <c r="G4" s="1"/>
      <c r="I4" s="5"/>
      <c r="L4" s="1"/>
      <c r="M4" s="1"/>
      <c r="N4" s="1"/>
    </row>
    <row r="5" spans="1:14" x14ac:dyDescent="0.3">
      <c r="A5" s="18"/>
      <c r="B5" s="48"/>
      <c r="C5" s="49"/>
      <c r="D5" s="49"/>
      <c r="G5" s="1"/>
      <c r="I5" s="5"/>
      <c r="L5" s="1"/>
      <c r="M5" s="1"/>
      <c r="N5" s="1"/>
    </row>
    <row r="6" spans="1:14" x14ac:dyDescent="0.3">
      <c r="B6" s="10" t="s">
        <v>15</v>
      </c>
      <c r="G6" s="18"/>
      <c r="H6" s="18"/>
      <c r="I6" s="18"/>
      <c r="J6" s="18"/>
      <c r="K6" s="18"/>
      <c r="L6" s="18"/>
      <c r="M6" s="18"/>
      <c r="N6" s="18"/>
    </row>
    <row r="7" spans="1:14" s="3" customFormat="1" ht="38.25" x14ac:dyDescent="0.2">
      <c r="B7" s="4" t="s">
        <v>0</v>
      </c>
      <c r="C7" s="34" t="s">
        <v>110</v>
      </c>
      <c r="D7" s="4" t="s">
        <v>1</v>
      </c>
      <c r="E7" s="4" t="s">
        <v>3</v>
      </c>
      <c r="F7" s="4" t="s">
        <v>4</v>
      </c>
      <c r="G7" s="4" t="s">
        <v>8</v>
      </c>
      <c r="H7" s="4" t="s">
        <v>2</v>
      </c>
      <c r="I7" s="4" t="s">
        <v>5</v>
      </c>
      <c r="J7" s="4" t="s">
        <v>6</v>
      </c>
      <c r="K7" s="4" t="s">
        <v>17</v>
      </c>
      <c r="L7" s="4" t="s">
        <v>18</v>
      </c>
      <c r="M7" s="4" t="s">
        <v>7</v>
      </c>
      <c r="N7" s="29"/>
    </row>
    <row r="8" spans="1:14" s="3" customFormat="1" ht="12.75" x14ac:dyDescent="0.2">
      <c r="B8" s="4"/>
      <c r="C8" s="34" t="s">
        <v>109</v>
      </c>
      <c r="D8" s="4" t="s">
        <v>111</v>
      </c>
      <c r="E8" s="4"/>
      <c r="F8" s="4" t="s">
        <v>111</v>
      </c>
      <c r="G8" s="4" t="s">
        <v>112</v>
      </c>
      <c r="H8" s="4"/>
      <c r="I8" s="4"/>
      <c r="J8" s="4"/>
      <c r="K8" s="4" t="s">
        <v>112</v>
      </c>
      <c r="L8" s="4" t="s">
        <v>112</v>
      </c>
      <c r="M8" s="4" t="s">
        <v>112</v>
      </c>
      <c r="N8" s="29"/>
    </row>
    <row r="9" spans="1:14" s="3" customFormat="1" x14ac:dyDescent="0.2">
      <c r="B9" s="72" t="s">
        <v>92</v>
      </c>
      <c r="C9" s="73"/>
      <c r="D9" s="74"/>
      <c r="E9" s="74"/>
      <c r="F9" s="74"/>
      <c r="G9" s="75"/>
      <c r="H9" s="44"/>
      <c r="I9" s="44"/>
      <c r="J9" s="45"/>
      <c r="K9" s="45"/>
      <c r="L9" s="45"/>
      <c r="M9" s="45"/>
      <c r="N9" s="29"/>
    </row>
    <row r="10" spans="1:14" s="3" customFormat="1" x14ac:dyDescent="0.2">
      <c r="B10" s="53" t="s">
        <v>67</v>
      </c>
      <c r="C10" s="35">
        <v>3633.04</v>
      </c>
      <c r="D10" s="22">
        <v>2004</v>
      </c>
      <c r="E10" s="22">
        <v>2024</v>
      </c>
      <c r="F10" s="22">
        <v>60</v>
      </c>
      <c r="G10" s="39">
        <v>18000</v>
      </c>
      <c r="H10" s="30">
        <f t="shared" ref="H10:H28" si="0">E10-D10</f>
        <v>20</v>
      </c>
      <c r="I10" s="30">
        <f t="shared" ref="I10:I28" si="1">IF(H10&gt;=5,90*H10/F10,0)</f>
        <v>30</v>
      </c>
      <c r="J10" s="33">
        <f t="shared" ref="J10:J28" si="2">G10/100*I10</f>
        <v>5400</v>
      </c>
      <c r="K10" s="33">
        <f t="shared" ref="K10:K28" si="3">ROUND((G10-J10),0)</f>
        <v>12600</v>
      </c>
      <c r="L10" s="33">
        <f t="shared" ref="L10:L28" si="4">ROUND((K10*C10),0)</f>
        <v>45776304</v>
      </c>
      <c r="M10" s="33">
        <f t="shared" ref="M10:M28" si="5">ROUND((C10*G10),0)</f>
        <v>65394720</v>
      </c>
      <c r="N10" s="29"/>
    </row>
    <row r="11" spans="1:14" s="3" customFormat="1" x14ac:dyDescent="0.2">
      <c r="B11" s="53" t="s">
        <v>72</v>
      </c>
      <c r="C11" s="35">
        <f>2991.72+641.32</f>
        <v>3633.04</v>
      </c>
      <c r="D11" s="22">
        <v>2004</v>
      </c>
      <c r="E11" s="22">
        <v>2024</v>
      </c>
      <c r="F11" s="22">
        <v>60</v>
      </c>
      <c r="G11" s="39">
        <v>18000</v>
      </c>
      <c r="H11" s="30">
        <f t="shared" si="0"/>
        <v>20</v>
      </c>
      <c r="I11" s="30">
        <f t="shared" si="1"/>
        <v>30</v>
      </c>
      <c r="J11" s="33">
        <f t="shared" si="2"/>
        <v>5400</v>
      </c>
      <c r="K11" s="33">
        <f t="shared" si="3"/>
        <v>12600</v>
      </c>
      <c r="L11" s="33">
        <f t="shared" si="4"/>
        <v>45776304</v>
      </c>
      <c r="M11" s="33">
        <f t="shared" si="5"/>
        <v>65394720</v>
      </c>
      <c r="N11" s="29"/>
    </row>
    <row r="12" spans="1:14" s="3" customFormat="1" x14ac:dyDescent="0.2">
      <c r="B12" s="53" t="s">
        <v>68</v>
      </c>
      <c r="C12" s="35">
        <f>2155.29+1083.16</f>
        <v>3238.45</v>
      </c>
      <c r="D12" s="22">
        <v>2004</v>
      </c>
      <c r="E12" s="22">
        <v>2024</v>
      </c>
      <c r="F12" s="22">
        <v>60</v>
      </c>
      <c r="G12" s="39">
        <v>18000</v>
      </c>
      <c r="H12" s="30">
        <f t="shared" si="0"/>
        <v>20</v>
      </c>
      <c r="I12" s="30">
        <f t="shared" si="1"/>
        <v>30</v>
      </c>
      <c r="J12" s="33">
        <f t="shared" si="2"/>
        <v>5400</v>
      </c>
      <c r="K12" s="33">
        <f t="shared" si="3"/>
        <v>12600</v>
      </c>
      <c r="L12" s="33">
        <f t="shared" si="4"/>
        <v>40804470</v>
      </c>
      <c r="M12" s="33">
        <f t="shared" si="5"/>
        <v>58292100</v>
      </c>
      <c r="N12" s="29"/>
    </row>
    <row r="13" spans="1:14" s="3" customFormat="1" x14ac:dyDescent="0.2">
      <c r="B13" s="53" t="s">
        <v>69</v>
      </c>
      <c r="C13" s="35">
        <f>2155.29+1083.16</f>
        <v>3238.45</v>
      </c>
      <c r="D13" s="22">
        <v>2004</v>
      </c>
      <c r="E13" s="22">
        <v>2024</v>
      </c>
      <c r="F13" s="22">
        <v>60</v>
      </c>
      <c r="G13" s="39">
        <v>18000</v>
      </c>
      <c r="H13" s="30">
        <f t="shared" si="0"/>
        <v>20</v>
      </c>
      <c r="I13" s="30">
        <f t="shared" si="1"/>
        <v>30</v>
      </c>
      <c r="J13" s="33">
        <f t="shared" si="2"/>
        <v>5400</v>
      </c>
      <c r="K13" s="33">
        <f t="shared" si="3"/>
        <v>12600</v>
      </c>
      <c r="L13" s="33">
        <f t="shared" si="4"/>
        <v>40804470</v>
      </c>
      <c r="M13" s="33">
        <f t="shared" si="5"/>
        <v>58292100</v>
      </c>
      <c r="N13" s="29"/>
    </row>
    <row r="14" spans="1:14" s="3" customFormat="1" x14ac:dyDescent="0.2">
      <c r="B14" s="53" t="s">
        <v>94</v>
      </c>
      <c r="C14" s="35">
        <f>165.16+232.19</f>
        <v>397.35</v>
      </c>
      <c r="D14" s="22">
        <v>2004</v>
      </c>
      <c r="E14" s="22">
        <v>2024</v>
      </c>
      <c r="F14" s="22">
        <v>60</v>
      </c>
      <c r="G14" s="39">
        <v>18000</v>
      </c>
      <c r="H14" s="30">
        <f t="shared" si="0"/>
        <v>20</v>
      </c>
      <c r="I14" s="30">
        <f t="shared" si="1"/>
        <v>30</v>
      </c>
      <c r="J14" s="33">
        <f t="shared" si="2"/>
        <v>5400</v>
      </c>
      <c r="K14" s="33">
        <f t="shared" si="3"/>
        <v>12600</v>
      </c>
      <c r="L14" s="33">
        <f t="shared" si="4"/>
        <v>5006610</v>
      </c>
      <c r="M14" s="33">
        <f t="shared" si="5"/>
        <v>7152300</v>
      </c>
      <c r="N14" s="29"/>
    </row>
    <row r="15" spans="1:14" s="3" customFormat="1" x14ac:dyDescent="0.2">
      <c r="B15" s="72" t="s">
        <v>93</v>
      </c>
      <c r="C15" s="73"/>
      <c r="D15" s="74"/>
      <c r="E15" s="74"/>
      <c r="F15" s="74"/>
      <c r="G15" s="75"/>
      <c r="H15" s="44"/>
      <c r="I15" s="44"/>
      <c r="J15" s="45"/>
      <c r="K15" s="45"/>
      <c r="L15" s="45"/>
      <c r="M15" s="45"/>
      <c r="N15" s="29"/>
    </row>
    <row r="16" spans="1:14" s="3" customFormat="1" x14ac:dyDescent="0.2">
      <c r="B16" s="53" t="s">
        <v>72</v>
      </c>
      <c r="C16" s="35">
        <v>753.81</v>
      </c>
      <c r="D16" s="22">
        <v>2024</v>
      </c>
      <c r="E16" s="22">
        <v>2024</v>
      </c>
      <c r="F16" s="22">
        <v>60</v>
      </c>
      <c r="G16" s="39">
        <v>18000</v>
      </c>
      <c r="H16" s="30">
        <f t="shared" si="0"/>
        <v>0</v>
      </c>
      <c r="I16" s="30">
        <f t="shared" si="1"/>
        <v>0</v>
      </c>
      <c r="J16" s="33">
        <f t="shared" si="2"/>
        <v>0</v>
      </c>
      <c r="K16" s="33">
        <f t="shared" si="3"/>
        <v>18000</v>
      </c>
      <c r="L16" s="33">
        <f t="shared" si="4"/>
        <v>13568580</v>
      </c>
      <c r="M16" s="33">
        <f t="shared" si="5"/>
        <v>13568580</v>
      </c>
      <c r="N16" s="29"/>
    </row>
    <row r="17" spans="2:14" s="3" customFormat="1" x14ac:dyDescent="0.2">
      <c r="B17" s="53" t="s">
        <v>68</v>
      </c>
      <c r="C17" s="35">
        <v>819.33</v>
      </c>
      <c r="D17" s="22">
        <v>2024</v>
      </c>
      <c r="E17" s="22">
        <v>2024</v>
      </c>
      <c r="F17" s="22">
        <v>60</v>
      </c>
      <c r="G17" s="39">
        <v>18000</v>
      </c>
      <c r="H17" s="30">
        <f t="shared" si="0"/>
        <v>0</v>
      </c>
      <c r="I17" s="30">
        <f t="shared" si="1"/>
        <v>0</v>
      </c>
      <c r="J17" s="33">
        <f t="shared" si="2"/>
        <v>0</v>
      </c>
      <c r="K17" s="33">
        <f t="shared" si="3"/>
        <v>18000</v>
      </c>
      <c r="L17" s="33">
        <f t="shared" si="4"/>
        <v>14747940</v>
      </c>
      <c r="M17" s="33">
        <f t="shared" si="5"/>
        <v>14747940</v>
      </c>
      <c r="N17" s="29"/>
    </row>
    <row r="18" spans="2:14" s="3" customFormat="1" x14ac:dyDescent="0.2">
      <c r="B18" s="53" t="s">
        <v>95</v>
      </c>
      <c r="C18" s="35">
        <v>28.19</v>
      </c>
      <c r="D18" s="22">
        <v>2024</v>
      </c>
      <c r="E18" s="22">
        <v>2024</v>
      </c>
      <c r="F18" s="22">
        <v>60</v>
      </c>
      <c r="G18" s="39">
        <v>18000</v>
      </c>
      <c r="H18" s="30">
        <f t="shared" si="0"/>
        <v>0</v>
      </c>
      <c r="I18" s="30">
        <f t="shared" si="1"/>
        <v>0</v>
      </c>
      <c r="J18" s="33">
        <f t="shared" si="2"/>
        <v>0</v>
      </c>
      <c r="K18" s="33">
        <f t="shared" si="3"/>
        <v>18000</v>
      </c>
      <c r="L18" s="33">
        <f t="shared" si="4"/>
        <v>507420</v>
      </c>
      <c r="M18" s="33">
        <f t="shared" si="5"/>
        <v>507420</v>
      </c>
      <c r="N18" s="29"/>
    </row>
    <row r="19" spans="2:14" s="3" customFormat="1" x14ac:dyDescent="0.2">
      <c r="B19" s="72" t="s">
        <v>96</v>
      </c>
      <c r="C19" s="35"/>
      <c r="D19" s="74"/>
      <c r="E19" s="74"/>
      <c r="F19" s="74"/>
      <c r="G19" s="75"/>
      <c r="H19" s="44"/>
      <c r="I19" s="44"/>
      <c r="J19" s="45"/>
      <c r="K19" s="45"/>
      <c r="L19" s="45"/>
      <c r="M19" s="45"/>
      <c r="N19" s="29"/>
    </row>
    <row r="20" spans="2:14" s="3" customFormat="1" x14ac:dyDescent="0.3">
      <c r="B20" s="53" t="s">
        <v>72</v>
      </c>
      <c r="C20" s="79">
        <v>285.85000000000002</v>
      </c>
      <c r="D20" s="22">
        <v>2024</v>
      </c>
      <c r="E20" s="22">
        <v>2024</v>
      </c>
      <c r="F20" s="22">
        <v>60</v>
      </c>
      <c r="G20" s="39">
        <v>18000</v>
      </c>
      <c r="H20" s="30">
        <f t="shared" si="0"/>
        <v>0</v>
      </c>
      <c r="I20" s="30">
        <f t="shared" si="1"/>
        <v>0</v>
      </c>
      <c r="J20" s="33">
        <f t="shared" si="2"/>
        <v>0</v>
      </c>
      <c r="K20" s="33">
        <f t="shared" si="3"/>
        <v>18000</v>
      </c>
      <c r="L20" s="33">
        <f t="shared" si="4"/>
        <v>5145300</v>
      </c>
      <c r="M20" s="33">
        <f t="shared" si="5"/>
        <v>5145300</v>
      </c>
      <c r="N20" s="29"/>
    </row>
    <row r="21" spans="2:14" s="3" customFormat="1" x14ac:dyDescent="0.3">
      <c r="B21" s="53" t="s">
        <v>68</v>
      </c>
      <c r="C21" s="79">
        <v>336.25</v>
      </c>
      <c r="D21" s="22">
        <v>2024</v>
      </c>
      <c r="E21" s="22">
        <v>2024</v>
      </c>
      <c r="F21" s="22">
        <v>60</v>
      </c>
      <c r="G21" s="39">
        <v>18000</v>
      </c>
      <c r="H21" s="30">
        <f t="shared" si="0"/>
        <v>0</v>
      </c>
      <c r="I21" s="30">
        <f t="shared" si="1"/>
        <v>0</v>
      </c>
      <c r="J21" s="33">
        <f t="shared" si="2"/>
        <v>0</v>
      </c>
      <c r="K21" s="33">
        <f t="shared" si="3"/>
        <v>18000</v>
      </c>
      <c r="L21" s="33">
        <f t="shared" si="4"/>
        <v>6052500</v>
      </c>
      <c r="M21" s="33">
        <f t="shared" si="5"/>
        <v>6052500</v>
      </c>
      <c r="N21" s="29"/>
    </row>
    <row r="22" spans="2:14" s="3" customFormat="1" x14ac:dyDescent="0.3">
      <c r="B22" s="53" t="s">
        <v>95</v>
      </c>
      <c r="C22" s="79">
        <v>24.28</v>
      </c>
      <c r="D22" s="22">
        <v>2024</v>
      </c>
      <c r="E22" s="22">
        <v>2024</v>
      </c>
      <c r="F22" s="22">
        <v>60</v>
      </c>
      <c r="G22" s="39">
        <v>18000</v>
      </c>
      <c r="H22" s="30">
        <f t="shared" si="0"/>
        <v>0</v>
      </c>
      <c r="I22" s="30">
        <f t="shared" si="1"/>
        <v>0</v>
      </c>
      <c r="J22" s="33">
        <f t="shared" si="2"/>
        <v>0</v>
      </c>
      <c r="K22" s="33">
        <f t="shared" si="3"/>
        <v>18000</v>
      </c>
      <c r="L22" s="33">
        <f t="shared" si="4"/>
        <v>437040</v>
      </c>
      <c r="M22" s="33">
        <f t="shared" si="5"/>
        <v>437040</v>
      </c>
      <c r="N22" s="29"/>
    </row>
    <row r="23" spans="2:14" s="3" customFormat="1" x14ac:dyDescent="0.2">
      <c r="B23" s="72" t="s">
        <v>97</v>
      </c>
      <c r="C23" s="35"/>
      <c r="D23" s="22"/>
      <c r="E23" s="22"/>
      <c r="F23" s="22"/>
      <c r="G23" s="39"/>
      <c r="H23" s="30"/>
      <c r="I23" s="30"/>
      <c r="J23" s="33"/>
      <c r="K23" s="33"/>
      <c r="L23" s="33"/>
      <c r="M23" s="33"/>
      <c r="N23" s="29"/>
    </row>
    <row r="24" spans="2:14" s="3" customFormat="1" x14ac:dyDescent="0.3">
      <c r="B24" s="53" t="s">
        <v>72</v>
      </c>
      <c r="C24" s="79">
        <v>139.71</v>
      </c>
      <c r="D24" s="22">
        <v>2024</v>
      </c>
      <c r="E24" s="22">
        <v>2024</v>
      </c>
      <c r="F24" s="22">
        <v>60</v>
      </c>
      <c r="G24" s="39">
        <v>18000</v>
      </c>
      <c r="H24" s="30">
        <f t="shared" si="0"/>
        <v>0</v>
      </c>
      <c r="I24" s="30">
        <f t="shared" si="1"/>
        <v>0</v>
      </c>
      <c r="J24" s="33">
        <f t="shared" si="2"/>
        <v>0</v>
      </c>
      <c r="K24" s="33">
        <f t="shared" si="3"/>
        <v>18000</v>
      </c>
      <c r="L24" s="33">
        <f t="shared" si="4"/>
        <v>2514780</v>
      </c>
      <c r="M24" s="33">
        <f t="shared" si="5"/>
        <v>2514780</v>
      </c>
      <c r="N24" s="29"/>
    </row>
    <row r="25" spans="2:14" s="3" customFormat="1" x14ac:dyDescent="0.3">
      <c r="B25" s="53" t="s">
        <v>68</v>
      </c>
      <c r="C25" s="79">
        <v>165.19</v>
      </c>
      <c r="D25" s="22">
        <v>2024</v>
      </c>
      <c r="E25" s="22">
        <v>2024</v>
      </c>
      <c r="F25" s="22">
        <v>60</v>
      </c>
      <c r="G25" s="39">
        <v>18000</v>
      </c>
      <c r="H25" s="30">
        <f t="shared" si="0"/>
        <v>0</v>
      </c>
      <c r="I25" s="30">
        <f t="shared" si="1"/>
        <v>0</v>
      </c>
      <c r="J25" s="33">
        <f t="shared" si="2"/>
        <v>0</v>
      </c>
      <c r="K25" s="33">
        <f t="shared" si="3"/>
        <v>18000</v>
      </c>
      <c r="L25" s="33">
        <f t="shared" si="4"/>
        <v>2973420</v>
      </c>
      <c r="M25" s="33">
        <f t="shared" si="5"/>
        <v>2973420</v>
      </c>
      <c r="N25" s="29"/>
    </row>
    <row r="26" spans="2:14" s="3" customFormat="1" x14ac:dyDescent="0.3">
      <c r="B26" s="53" t="s">
        <v>95</v>
      </c>
      <c r="C26" s="80">
        <v>14.65</v>
      </c>
      <c r="D26" s="22">
        <v>2024</v>
      </c>
      <c r="E26" s="22">
        <v>2024</v>
      </c>
      <c r="F26" s="22">
        <v>60</v>
      </c>
      <c r="G26" s="39">
        <v>18000</v>
      </c>
      <c r="H26" s="30">
        <f t="shared" si="0"/>
        <v>0</v>
      </c>
      <c r="I26" s="30">
        <f t="shared" si="1"/>
        <v>0</v>
      </c>
      <c r="J26" s="33">
        <f t="shared" si="2"/>
        <v>0</v>
      </c>
      <c r="K26" s="33">
        <f t="shared" si="3"/>
        <v>18000</v>
      </c>
      <c r="L26" s="33">
        <f t="shared" si="4"/>
        <v>263700</v>
      </c>
      <c r="M26" s="33">
        <f t="shared" si="5"/>
        <v>263700</v>
      </c>
      <c r="N26" s="29"/>
    </row>
    <row r="27" spans="2:14" s="3" customFormat="1" x14ac:dyDescent="0.2">
      <c r="B27" s="72" t="s">
        <v>98</v>
      </c>
      <c r="C27" s="35"/>
      <c r="D27" s="22"/>
      <c r="E27" s="22"/>
      <c r="F27" s="22"/>
      <c r="G27" s="39"/>
      <c r="H27" s="30"/>
      <c r="I27" s="30"/>
      <c r="J27" s="33"/>
      <c r="K27" s="33"/>
      <c r="L27" s="33"/>
      <c r="M27" s="33"/>
      <c r="N27" s="29"/>
    </row>
    <row r="28" spans="2:14" s="3" customFormat="1" x14ac:dyDescent="0.3">
      <c r="B28" s="53" t="s">
        <v>72</v>
      </c>
      <c r="C28" s="80">
        <v>1378.94</v>
      </c>
      <c r="D28" s="22">
        <v>2024</v>
      </c>
      <c r="E28" s="22">
        <v>2024</v>
      </c>
      <c r="F28" s="22">
        <v>60</v>
      </c>
      <c r="G28" s="39">
        <v>15000</v>
      </c>
      <c r="H28" s="30">
        <f t="shared" si="0"/>
        <v>0</v>
      </c>
      <c r="I28" s="30">
        <f t="shared" si="1"/>
        <v>0</v>
      </c>
      <c r="J28" s="33">
        <f t="shared" si="2"/>
        <v>0</v>
      </c>
      <c r="K28" s="33">
        <f t="shared" si="3"/>
        <v>15000</v>
      </c>
      <c r="L28" s="33">
        <f t="shared" si="4"/>
        <v>20684100</v>
      </c>
      <c r="M28" s="33">
        <f t="shared" si="5"/>
        <v>20684100</v>
      </c>
      <c r="N28" s="29"/>
    </row>
    <row r="29" spans="2:14" x14ac:dyDescent="0.3">
      <c r="B29" s="72" t="s">
        <v>99</v>
      </c>
      <c r="C29" s="35"/>
      <c r="D29" s="22"/>
      <c r="E29" s="22"/>
      <c r="F29" s="22"/>
      <c r="G29" s="39"/>
      <c r="H29" s="30"/>
      <c r="I29" s="30"/>
      <c r="J29" s="33"/>
      <c r="K29" s="33"/>
      <c r="L29" s="33"/>
      <c r="M29" s="33"/>
      <c r="N29" s="18"/>
    </row>
    <row r="30" spans="2:14" x14ac:dyDescent="0.3">
      <c r="B30" s="53" t="s">
        <v>89</v>
      </c>
      <c r="C30" s="80">
        <f>3.14*15*15</f>
        <v>706.5</v>
      </c>
      <c r="D30" s="22">
        <v>2024</v>
      </c>
      <c r="E30" s="22">
        <v>2024</v>
      </c>
      <c r="F30" s="22">
        <v>50</v>
      </c>
      <c r="G30" s="39">
        <v>10000</v>
      </c>
      <c r="H30" s="30">
        <f t="shared" ref="H30:H32" si="6">E30-D30</f>
        <v>0</v>
      </c>
      <c r="I30" s="30">
        <f t="shared" ref="I30:I32" si="7">IF(H30&gt;=5,90*H30/F30,0)</f>
        <v>0</v>
      </c>
      <c r="J30" s="33">
        <f t="shared" ref="J30:J32" si="8">G30/100*I30</f>
        <v>0</v>
      </c>
      <c r="K30" s="33">
        <f t="shared" ref="K30:K32" si="9">ROUND((G30-J30),0)</f>
        <v>10000</v>
      </c>
      <c r="L30" s="33">
        <f t="shared" ref="L30:L32" si="10">ROUND((K30*C30),0)</f>
        <v>7065000</v>
      </c>
      <c r="M30" s="33">
        <f t="shared" ref="M30:M32" si="11">ROUND((C30*G30),0)</f>
        <v>7065000</v>
      </c>
      <c r="N30" s="18"/>
    </row>
    <row r="31" spans="2:14" x14ac:dyDescent="0.3">
      <c r="B31" s="72" t="s">
        <v>100</v>
      </c>
      <c r="C31" s="35"/>
      <c r="D31" s="22"/>
      <c r="E31" s="22"/>
      <c r="F31" s="22"/>
      <c r="G31" s="39"/>
      <c r="H31" s="30"/>
      <c r="I31" s="30"/>
      <c r="J31" s="33"/>
      <c r="K31" s="33"/>
      <c r="L31" s="33"/>
      <c r="M31" s="33"/>
      <c r="N31" s="18"/>
    </row>
    <row r="32" spans="2:14" x14ac:dyDescent="0.3">
      <c r="B32" s="53" t="s">
        <v>91</v>
      </c>
      <c r="C32" s="80">
        <f>9.05*17.48</f>
        <v>158.19400000000002</v>
      </c>
      <c r="D32" s="22">
        <v>2024</v>
      </c>
      <c r="E32" s="22">
        <v>2024</v>
      </c>
      <c r="F32" s="22">
        <v>50</v>
      </c>
      <c r="G32" s="39">
        <v>10000</v>
      </c>
      <c r="H32" s="30">
        <f t="shared" si="6"/>
        <v>0</v>
      </c>
      <c r="I32" s="30">
        <f t="shared" si="7"/>
        <v>0</v>
      </c>
      <c r="J32" s="33">
        <f t="shared" si="8"/>
        <v>0</v>
      </c>
      <c r="K32" s="33">
        <f t="shared" si="9"/>
        <v>10000</v>
      </c>
      <c r="L32" s="33">
        <f t="shared" si="10"/>
        <v>1581940</v>
      </c>
      <c r="M32" s="33">
        <f t="shared" si="11"/>
        <v>1581940</v>
      </c>
      <c r="N32" s="18"/>
    </row>
    <row r="33" spans="2:14" x14ac:dyDescent="0.3">
      <c r="B33" s="72" t="s">
        <v>101</v>
      </c>
      <c r="C33" s="35"/>
      <c r="D33" s="22"/>
      <c r="E33" s="22"/>
      <c r="F33" s="22"/>
      <c r="G33" s="39"/>
      <c r="H33" s="30"/>
      <c r="I33" s="30"/>
      <c r="J33" s="33"/>
      <c r="K33" s="33"/>
      <c r="L33" s="33"/>
      <c r="M33" s="33"/>
      <c r="N33" s="18"/>
    </row>
    <row r="34" spans="2:14" x14ac:dyDescent="0.3">
      <c r="B34" s="53" t="s">
        <v>102</v>
      </c>
      <c r="C34" s="80">
        <f>15*5</f>
        <v>75</v>
      </c>
      <c r="D34" s="22">
        <v>2024</v>
      </c>
      <c r="E34" s="22">
        <v>2024</v>
      </c>
      <c r="F34" s="22">
        <v>50</v>
      </c>
      <c r="G34" s="39">
        <v>5000</v>
      </c>
      <c r="H34" s="30">
        <f t="shared" ref="H34:H38" si="12">E34-D34</f>
        <v>0</v>
      </c>
      <c r="I34" s="30">
        <f t="shared" ref="I34:I38" si="13">IF(H34&gt;=5,90*H34/F34,0)</f>
        <v>0</v>
      </c>
      <c r="J34" s="33">
        <f t="shared" ref="J34:J38" si="14">G34/100*I34</f>
        <v>0</v>
      </c>
      <c r="K34" s="33">
        <f t="shared" ref="K34:K38" si="15">ROUND((G34-J34),0)</f>
        <v>5000</v>
      </c>
      <c r="L34" s="33">
        <f t="shared" ref="L34:L38" si="16">ROUND((K34*C34),0)</f>
        <v>375000</v>
      </c>
      <c r="M34" s="33">
        <f t="shared" ref="M34:M38" si="17">ROUND((C34*G34),0)</f>
        <v>375000</v>
      </c>
      <c r="N34" s="18"/>
    </row>
    <row r="35" spans="2:14" x14ac:dyDescent="0.3">
      <c r="B35" s="72" t="s">
        <v>103</v>
      </c>
      <c r="C35" s="35"/>
      <c r="D35" s="22"/>
      <c r="E35" s="22"/>
      <c r="F35" s="22"/>
      <c r="G35" s="39"/>
      <c r="H35" s="30"/>
      <c r="I35" s="30"/>
      <c r="J35" s="33"/>
      <c r="K35" s="33"/>
      <c r="L35" s="33"/>
      <c r="M35" s="33"/>
      <c r="N35" s="18"/>
    </row>
    <row r="36" spans="2:14" x14ac:dyDescent="0.3">
      <c r="B36" s="53" t="s">
        <v>88</v>
      </c>
      <c r="C36" s="80">
        <f>19*16</f>
        <v>304</v>
      </c>
      <c r="D36" s="22">
        <v>2024</v>
      </c>
      <c r="E36" s="22">
        <v>2024</v>
      </c>
      <c r="F36" s="22">
        <v>50</v>
      </c>
      <c r="G36" s="39">
        <v>5000</v>
      </c>
      <c r="H36" s="30">
        <f t="shared" si="12"/>
        <v>0</v>
      </c>
      <c r="I36" s="30">
        <f t="shared" si="13"/>
        <v>0</v>
      </c>
      <c r="J36" s="33">
        <f t="shared" si="14"/>
        <v>0</v>
      </c>
      <c r="K36" s="33">
        <f t="shared" si="15"/>
        <v>5000</v>
      </c>
      <c r="L36" s="33">
        <f t="shared" si="16"/>
        <v>1520000</v>
      </c>
      <c r="M36" s="33">
        <f t="shared" si="17"/>
        <v>1520000</v>
      </c>
      <c r="N36" s="18"/>
    </row>
    <row r="37" spans="2:14" x14ac:dyDescent="0.3">
      <c r="B37" s="72" t="s">
        <v>104</v>
      </c>
      <c r="C37" s="35"/>
      <c r="D37" s="22"/>
      <c r="E37" s="22"/>
      <c r="F37" s="22"/>
      <c r="G37" s="39"/>
      <c r="H37" s="30"/>
      <c r="I37" s="30"/>
      <c r="J37" s="33"/>
      <c r="K37" s="33"/>
      <c r="L37" s="33"/>
      <c r="M37" s="33"/>
      <c r="N37" s="18"/>
    </row>
    <row r="38" spans="2:14" x14ac:dyDescent="0.3">
      <c r="B38" s="53" t="s">
        <v>87</v>
      </c>
      <c r="C38" s="80">
        <f>(8.5*33)+(1.5*15)</f>
        <v>303</v>
      </c>
      <c r="D38" s="22">
        <v>2024</v>
      </c>
      <c r="E38" s="22">
        <v>2024</v>
      </c>
      <c r="F38" s="22">
        <v>60</v>
      </c>
      <c r="G38" s="39">
        <v>12000</v>
      </c>
      <c r="H38" s="30">
        <f t="shared" si="12"/>
        <v>0</v>
      </c>
      <c r="I38" s="30">
        <f t="shared" si="13"/>
        <v>0</v>
      </c>
      <c r="J38" s="33">
        <f t="shared" si="14"/>
        <v>0</v>
      </c>
      <c r="K38" s="33">
        <f t="shared" si="15"/>
        <v>12000</v>
      </c>
      <c r="L38" s="33">
        <f t="shared" si="16"/>
        <v>3636000</v>
      </c>
      <c r="M38" s="33">
        <f t="shared" si="17"/>
        <v>3636000</v>
      </c>
      <c r="N38" s="18"/>
    </row>
    <row r="39" spans="2:14" s="40" customFormat="1" x14ac:dyDescent="0.3">
      <c r="B39" s="47" t="s">
        <v>21</v>
      </c>
      <c r="C39" s="41">
        <f>SUM(C9:C38)</f>
        <v>19633.223999999998</v>
      </c>
      <c r="D39" s="42"/>
      <c r="E39" s="42"/>
      <c r="F39" s="42"/>
      <c r="G39" s="43"/>
      <c r="H39" s="44"/>
      <c r="I39" s="44"/>
      <c r="J39" s="45"/>
      <c r="K39" s="45"/>
      <c r="L39" s="41">
        <f t="shared" ref="L39:M39" si="18">SUM(L9:L38)</f>
        <v>259240878</v>
      </c>
      <c r="M39" s="41">
        <f t="shared" si="18"/>
        <v>335598660</v>
      </c>
      <c r="N39" s="46"/>
    </row>
    <row r="40" spans="2:14" x14ac:dyDescent="0.3">
      <c r="B40" s="7"/>
      <c r="C40" s="36"/>
      <c r="D40" s="54"/>
      <c r="E40" s="26"/>
      <c r="F40" s="26"/>
      <c r="G40" s="27"/>
      <c r="H40" s="31"/>
      <c r="I40" s="31"/>
      <c r="J40" s="21"/>
      <c r="K40" s="21"/>
      <c r="L40" s="21"/>
      <c r="M40" s="21"/>
      <c r="N40" s="31"/>
    </row>
    <row r="41" spans="2:14" x14ac:dyDescent="0.3">
      <c r="B41" s="7"/>
      <c r="C41" s="37"/>
      <c r="D41" s="8"/>
      <c r="E41" s="8"/>
      <c r="F41" s="9"/>
      <c r="G41" s="9"/>
      <c r="H41" s="9"/>
      <c r="I41" s="8"/>
      <c r="J41" s="12"/>
      <c r="K41" s="13"/>
      <c r="L41" s="21"/>
      <c r="M41" s="21"/>
      <c r="N41" s="9"/>
    </row>
    <row r="42" spans="2:14" x14ac:dyDescent="0.3">
      <c r="B42" s="100" t="s">
        <v>105</v>
      </c>
      <c r="C42" s="100"/>
      <c r="D42" s="8"/>
      <c r="E42" s="8"/>
      <c r="F42" s="9"/>
      <c r="G42" s="9"/>
      <c r="H42" s="9"/>
      <c r="I42" s="8"/>
      <c r="J42" s="12"/>
      <c r="K42" s="13"/>
      <c r="L42" s="21"/>
      <c r="M42" s="21"/>
      <c r="N42" s="9"/>
    </row>
    <row r="43" spans="2:14" x14ac:dyDescent="0.3">
      <c r="B43" s="19" t="s">
        <v>106</v>
      </c>
      <c r="C43" s="83">
        <v>0</v>
      </c>
      <c r="D43" s="8"/>
      <c r="E43" s="8"/>
      <c r="F43" s="9"/>
      <c r="G43" s="9"/>
      <c r="H43" s="9"/>
      <c r="I43" s="8"/>
      <c r="J43" s="12"/>
      <c r="K43" s="13"/>
      <c r="L43" s="21"/>
      <c r="M43" s="21"/>
      <c r="N43" s="9"/>
    </row>
    <row r="44" spans="2:14" x14ac:dyDescent="0.3">
      <c r="B44" s="82" t="s">
        <v>9</v>
      </c>
      <c r="C44" s="84">
        <v>0</v>
      </c>
      <c r="D44" s="8"/>
      <c r="E44" s="8"/>
      <c r="F44" s="9"/>
      <c r="G44" s="9"/>
      <c r="H44" s="9"/>
      <c r="I44" s="8"/>
      <c r="J44" s="12"/>
      <c r="K44" s="13"/>
      <c r="L44" s="21"/>
      <c r="M44" s="21"/>
      <c r="N44" s="9"/>
    </row>
    <row r="45" spans="2:14" x14ac:dyDescent="0.3">
      <c r="B45" s="82" t="s">
        <v>10</v>
      </c>
      <c r="C45" s="83">
        <f>ROUND((C43*C44),0)</f>
        <v>0</v>
      </c>
      <c r="D45" s="8"/>
      <c r="E45" s="8"/>
      <c r="F45" s="9"/>
      <c r="G45" s="9"/>
      <c r="H45" s="9"/>
      <c r="I45" s="8"/>
      <c r="J45" s="12"/>
      <c r="K45" s="13"/>
      <c r="L45" s="21"/>
      <c r="M45" s="21"/>
      <c r="N45" s="9"/>
    </row>
    <row r="46" spans="2:14" x14ac:dyDescent="0.3">
      <c r="B46" s="7"/>
      <c r="C46" s="85"/>
      <c r="D46" s="8"/>
      <c r="E46" s="8"/>
      <c r="F46" s="9"/>
      <c r="G46" s="9"/>
      <c r="H46" s="9"/>
      <c r="I46" s="8"/>
      <c r="J46" s="12"/>
      <c r="K46" s="13"/>
      <c r="L46" s="21"/>
      <c r="M46" s="21"/>
      <c r="N46" s="9"/>
    </row>
    <row r="47" spans="2:14" x14ac:dyDescent="0.3">
      <c r="B47" s="101" t="s">
        <v>107</v>
      </c>
      <c r="C47" s="102"/>
      <c r="D47" s="8"/>
      <c r="E47" s="8"/>
      <c r="F47" s="9"/>
      <c r="G47" s="9"/>
      <c r="H47" s="9"/>
      <c r="I47" s="8"/>
      <c r="J47" s="12"/>
      <c r="K47" s="13"/>
      <c r="L47" s="21"/>
      <c r="M47" s="21"/>
      <c r="N47" s="9"/>
    </row>
    <row r="48" spans="2:14" x14ac:dyDescent="0.3">
      <c r="B48" s="19" t="s">
        <v>108</v>
      </c>
      <c r="C48" s="83">
        <f>C2-C39</f>
        <v>52739.406000000003</v>
      </c>
      <c r="D48" s="8"/>
      <c r="E48" s="8"/>
      <c r="F48" s="9"/>
      <c r="G48" s="9"/>
      <c r="H48" s="9"/>
      <c r="I48" s="8"/>
      <c r="J48" s="12"/>
      <c r="K48" s="13"/>
      <c r="L48" s="21"/>
      <c r="M48" s="21"/>
      <c r="N48" s="9"/>
    </row>
    <row r="49" spans="2:14" x14ac:dyDescent="0.3">
      <c r="B49" s="82" t="s">
        <v>9</v>
      </c>
      <c r="C49" s="84">
        <v>0</v>
      </c>
      <c r="D49" s="8"/>
      <c r="E49" s="8"/>
      <c r="F49" s="9"/>
      <c r="G49" s="9"/>
      <c r="H49" s="9"/>
      <c r="I49" s="8"/>
      <c r="J49" s="12"/>
      <c r="K49" s="13"/>
      <c r="L49" s="21"/>
      <c r="M49" s="21"/>
      <c r="N49" s="9"/>
    </row>
    <row r="50" spans="2:14" x14ac:dyDescent="0.3">
      <c r="B50" s="82" t="s">
        <v>10</v>
      </c>
      <c r="C50" s="86">
        <v>25000000</v>
      </c>
      <c r="D50" s="8"/>
      <c r="E50" s="8"/>
      <c r="F50" s="9"/>
      <c r="G50" s="9"/>
      <c r="H50" s="9"/>
      <c r="I50" s="8"/>
      <c r="J50" s="12"/>
      <c r="K50" s="13"/>
      <c r="L50" s="21"/>
      <c r="M50" s="21"/>
      <c r="N50" s="9"/>
    </row>
    <row r="51" spans="2:14" x14ac:dyDescent="0.3">
      <c r="B51" s="7"/>
      <c r="C51" s="37"/>
      <c r="D51" s="8"/>
      <c r="E51" s="8"/>
      <c r="F51" s="9"/>
      <c r="G51" s="9"/>
      <c r="H51" s="9"/>
      <c r="I51" s="8"/>
      <c r="J51" s="12"/>
      <c r="K51" s="13"/>
      <c r="L51" s="21"/>
      <c r="M51" s="21"/>
      <c r="N51" s="9"/>
    </row>
    <row r="52" spans="2:14" x14ac:dyDescent="0.3">
      <c r="B52" s="7"/>
      <c r="C52" s="37"/>
      <c r="D52" s="8"/>
      <c r="E52" s="8"/>
      <c r="F52" s="9"/>
      <c r="G52" s="9"/>
      <c r="H52" s="9"/>
      <c r="I52" s="8"/>
      <c r="J52" s="12"/>
      <c r="K52" s="13"/>
      <c r="L52" s="21"/>
      <c r="M52" s="21"/>
      <c r="N52" s="9"/>
    </row>
    <row r="53" spans="2:14" x14ac:dyDescent="0.3">
      <c r="C53" s="38"/>
      <c r="D53" s="6"/>
      <c r="E53" s="17"/>
      <c r="G53" s="11"/>
      <c r="H53" s="1"/>
      <c r="I53" s="5"/>
      <c r="J53" s="17"/>
      <c r="K53" s="5"/>
      <c r="N53" s="1"/>
    </row>
    <row r="54" spans="2:14" x14ac:dyDescent="0.3">
      <c r="B54" s="79" t="s">
        <v>14</v>
      </c>
      <c r="C54" s="93">
        <f>C4</f>
        <v>506608410</v>
      </c>
      <c r="D54" s="55"/>
      <c r="E54" s="15"/>
      <c r="F54" s="15"/>
      <c r="G54" s="16"/>
      <c r="H54" s="1"/>
      <c r="I54" s="5"/>
      <c r="J54" s="14"/>
      <c r="K54" s="5"/>
      <c r="N54" s="1"/>
    </row>
    <row r="55" spans="2:14" x14ac:dyDescent="0.3">
      <c r="B55" s="79" t="s">
        <v>15</v>
      </c>
      <c r="C55" s="93">
        <f>L39</f>
        <v>259240878</v>
      </c>
      <c r="D55" s="55"/>
      <c r="E55" s="15"/>
      <c r="F55" s="15"/>
      <c r="G55" s="16"/>
      <c r="H55" s="1"/>
      <c r="I55" s="5"/>
      <c r="J55" s="16"/>
      <c r="K55" s="5"/>
      <c r="N55" s="1"/>
    </row>
    <row r="56" spans="2:14" ht="33" x14ac:dyDescent="0.3">
      <c r="B56" s="79" t="s">
        <v>20</v>
      </c>
      <c r="C56" s="93">
        <f>C45</f>
        <v>0</v>
      </c>
      <c r="D56" s="15"/>
      <c r="E56" s="15"/>
      <c r="F56" s="15"/>
      <c r="G56" s="16"/>
      <c r="H56" s="1"/>
      <c r="I56" s="5"/>
      <c r="J56" s="16"/>
      <c r="K56" s="5"/>
      <c r="N56" s="1"/>
    </row>
    <row r="57" spans="2:14" x14ac:dyDescent="0.3">
      <c r="B57" s="79" t="s">
        <v>13</v>
      </c>
      <c r="C57" s="93">
        <f>C50</f>
        <v>25000000</v>
      </c>
      <c r="D57" s="92"/>
      <c r="E57" s="15"/>
      <c r="F57" s="15"/>
      <c r="G57" s="16"/>
      <c r="H57" s="1"/>
      <c r="I57" s="5"/>
      <c r="J57" s="16"/>
      <c r="K57" s="5"/>
      <c r="N57" s="1"/>
    </row>
    <row r="58" spans="2:14" x14ac:dyDescent="0.3">
      <c r="B58" s="94" t="s">
        <v>29</v>
      </c>
      <c r="C58" s="90">
        <f>C54+C55+C56+C57</f>
        <v>790849288</v>
      </c>
      <c r="D58" s="51"/>
      <c r="E58" s="91"/>
      <c r="H58" s="1"/>
      <c r="I58" s="5"/>
      <c r="J58" s="1"/>
      <c r="K58" s="5"/>
      <c r="N58" s="1"/>
    </row>
    <row r="59" spans="2:14" x14ac:dyDescent="0.3">
      <c r="B59" s="94" t="s">
        <v>11</v>
      </c>
      <c r="C59" s="90">
        <f>ROUND((C58*0.9),0)</f>
        <v>711764359</v>
      </c>
      <c r="D59" s="51"/>
      <c r="E59" s="14"/>
      <c r="G59" s="23"/>
      <c r="H59" s="1"/>
      <c r="I59" s="5"/>
      <c r="J59" s="1"/>
      <c r="K59" s="5"/>
      <c r="N59" s="1"/>
    </row>
    <row r="60" spans="2:14" x14ac:dyDescent="0.3">
      <c r="B60" s="94" t="s">
        <v>12</v>
      </c>
      <c r="C60" s="90">
        <f>ROUND((C58*0.8),0)</f>
        <v>632679430</v>
      </c>
      <c r="D60" s="51"/>
      <c r="E60" s="14"/>
      <c r="G60" s="23"/>
      <c r="H60" s="1"/>
      <c r="I60" s="5"/>
      <c r="J60" s="1"/>
      <c r="K60" s="5"/>
      <c r="N60" s="1"/>
    </row>
    <row r="61" spans="2:14" x14ac:dyDescent="0.3">
      <c r="B61" s="94" t="s">
        <v>16</v>
      </c>
      <c r="C61" s="90">
        <f>ROUND((M39*0.9),0)</f>
        <v>302038794</v>
      </c>
      <c r="D61" s="51"/>
      <c r="E61" s="5"/>
      <c r="H61" s="1"/>
      <c r="I61" s="5"/>
      <c r="J61" s="1"/>
      <c r="K61" s="5"/>
      <c r="L61" s="24"/>
      <c r="N61" s="1"/>
    </row>
    <row r="62" spans="2:14" x14ac:dyDescent="0.3">
      <c r="B62" s="94" t="s">
        <v>137</v>
      </c>
      <c r="C62" s="90">
        <f>D4+L39</f>
        <v>324376245</v>
      </c>
      <c r="M62" s="24"/>
    </row>
    <row r="63" spans="2:14" x14ac:dyDescent="0.3">
      <c r="M63" s="24"/>
    </row>
    <row r="64" spans="2:14" x14ac:dyDescent="0.3">
      <c r="K64" s="25"/>
      <c r="M64" s="24"/>
    </row>
    <row r="65" spans="8:13" x14ac:dyDescent="0.3">
      <c r="K65" s="25"/>
      <c r="M65" s="24"/>
    </row>
    <row r="66" spans="8:13" x14ac:dyDescent="0.3">
      <c r="H66" s="23"/>
      <c r="K66" s="25"/>
      <c r="M66" s="24"/>
    </row>
    <row r="67" spans="8:13" x14ac:dyDescent="0.3">
      <c r="K67" s="25"/>
      <c r="M67" s="24"/>
    </row>
    <row r="68" spans="8:13" x14ac:dyDescent="0.3">
      <c r="K68" s="25"/>
      <c r="M68" s="24"/>
    </row>
    <row r="69" spans="8:13" x14ac:dyDescent="0.3">
      <c r="K69" s="25"/>
      <c r="M69" s="24"/>
    </row>
    <row r="70" spans="8:13" x14ac:dyDescent="0.3">
      <c r="K70" s="25"/>
      <c r="M70" s="24"/>
    </row>
  </sheetData>
  <mergeCells count="2">
    <mergeCell ref="B42:C42"/>
    <mergeCell ref="B47:C47"/>
  </mergeCells>
  <pageMargins left="0.7" right="0.7" top="0.75" bottom="0.75" header="0.3" footer="0.3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0"/>
  <sheetViews>
    <sheetView zoomScaleNormal="100" workbookViewId="0">
      <selection activeCell="E6" sqref="E6:E7"/>
    </sheetView>
  </sheetViews>
  <sheetFormatPr defaultRowHeight="16.5" x14ac:dyDescent="0.3"/>
  <cols>
    <col min="1" max="1" width="4.140625" style="1" customWidth="1"/>
    <col min="2" max="2" width="7.7109375" style="1" bestFit="1" customWidth="1"/>
    <col min="3" max="3" width="20.85546875" style="1" customWidth="1"/>
    <col min="4" max="4" width="11" style="1" bestFit="1" customWidth="1"/>
    <col min="5" max="5" width="21.42578125" style="28" customWidth="1"/>
    <col min="6" max="6" width="26.140625" style="28" bestFit="1" customWidth="1"/>
    <col min="7" max="7" width="22.85546875" style="2" bestFit="1" customWidth="1"/>
    <col min="8" max="8" width="18" style="2" bestFit="1" customWidth="1"/>
    <col min="9" max="9" width="12.42578125" style="1" bestFit="1" customWidth="1"/>
    <col min="10" max="10" width="12" style="1" bestFit="1" customWidth="1"/>
    <col min="11" max="12" width="12.42578125" style="1" bestFit="1" customWidth="1"/>
    <col min="13" max="13" width="12.140625" style="1" bestFit="1" customWidth="1"/>
    <col min="14" max="14" width="14.7109375" style="1" bestFit="1" customWidth="1"/>
    <col min="15" max="16384" width="9.140625" style="1"/>
  </cols>
  <sheetData>
    <row r="1" spans="1:14" x14ac:dyDescent="0.3">
      <c r="A1" s="105" t="s">
        <v>27</v>
      </c>
      <c r="B1" s="105"/>
      <c r="C1" s="105"/>
      <c r="D1" s="105"/>
      <c r="E1" s="105"/>
      <c r="F1" s="105"/>
      <c r="G1" s="105"/>
      <c r="H1" s="57"/>
      <c r="M1" s="28"/>
      <c r="N1" s="28"/>
    </row>
    <row r="2" spans="1:14" s="2" customFormat="1" ht="33" x14ac:dyDescent="0.3">
      <c r="A2" s="68" t="s">
        <v>22</v>
      </c>
      <c r="B2" s="68" t="s">
        <v>41</v>
      </c>
      <c r="C2" s="69" t="s">
        <v>37</v>
      </c>
      <c r="D2" s="69" t="s">
        <v>35</v>
      </c>
      <c r="E2" s="69" t="s">
        <v>74</v>
      </c>
      <c r="F2" s="70" t="s">
        <v>32</v>
      </c>
      <c r="G2" s="70" t="s">
        <v>33</v>
      </c>
      <c r="H2" s="70" t="s">
        <v>71</v>
      </c>
      <c r="I2" s="70" t="s">
        <v>34</v>
      </c>
      <c r="J2" s="70" t="s">
        <v>60</v>
      </c>
      <c r="K2" s="70" t="s">
        <v>61</v>
      </c>
      <c r="M2" s="58"/>
      <c r="N2" s="58"/>
    </row>
    <row r="3" spans="1:14" ht="33" x14ac:dyDescent="0.3">
      <c r="A3" s="59">
        <v>1</v>
      </c>
      <c r="B3" s="59" t="s">
        <v>31</v>
      </c>
      <c r="C3" s="59"/>
      <c r="D3" s="59" t="s">
        <v>53</v>
      </c>
      <c r="E3" s="60">
        <v>24382</v>
      </c>
      <c r="F3" s="61" t="s">
        <v>49</v>
      </c>
      <c r="G3" s="19" t="s">
        <v>48</v>
      </c>
      <c r="H3" s="109" t="s">
        <v>39</v>
      </c>
      <c r="I3" s="62">
        <v>1049000</v>
      </c>
      <c r="J3" s="62">
        <v>134650</v>
      </c>
      <c r="K3" s="62">
        <f>SUM(I3:J3)</f>
        <v>1183650</v>
      </c>
      <c r="L3" s="1">
        <f>I3/E3</f>
        <v>43.023541957181529</v>
      </c>
      <c r="M3" s="63"/>
    </row>
    <row r="4" spans="1:14" ht="33" x14ac:dyDescent="0.3">
      <c r="A4" s="59">
        <v>2</v>
      </c>
      <c r="B4" s="59" t="s">
        <v>50</v>
      </c>
      <c r="C4" s="59"/>
      <c r="D4" s="59" t="s">
        <v>53</v>
      </c>
      <c r="E4" s="60">
        <v>23908.23</v>
      </c>
      <c r="F4" s="61" t="s">
        <v>51</v>
      </c>
      <c r="G4" s="19" t="s">
        <v>48</v>
      </c>
      <c r="H4" s="110"/>
      <c r="I4" s="62">
        <v>1029500</v>
      </c>
      <c r="J4" s="62">
        <v>132050</v>
      </c>
      <c r="K4" s="62">
        <f>SUM(I4:J4)</f>
        <v>1161550</v>
      </c>
      <c r="L4" s="1">
        <f t="shared" ref="L4:L11" si="0">I4/E4</f>
        <v>43.060485866164079</v>
      </c>
      <c r="M4" s="63"/>
    </row>
    <row r="5" spans="1:14" ht="33" x14ac:dyDescent="0.3">
      <c r="A5" s="59">
        <v>3</v>
      </c>
      <c r="B5" s="59" t="s">
        <v>52</v>
      </c>
      <c r="C5" s="59"/>
      <c r="D5" s="59" t="s">
        <v>53</v>
      </c>
      <c r="E5" s="60">
        <v>16086</v>
      </c>
      <c r="F5" s="61" t="s">
        <v>54</v>
      </c>
      <c r="G5" s="19" t="s">
        <v>48</v>
      </c>
      <c r="H5" s="110"/>
      <c r="I5" s="62">
        <v>692500</v>
      </c>
      <c r="J5" s="62">
        <v>88950</v>
      </c>
      <c r="K5" s="62">
        <f>SUM(I5:J5)</f>
        <v>781450</v>
      </c>
      <c r="L5" s="1">
        <f t="shared" si="0"/>
        <v>43.049857018525422</v>
      </c>
      <c r="M5" s="63"/>
    </row>
    <row r="6" spans="1:14" ht="33" x14ac:dyDescent="0.3">
      <c r="A6" s="59">
        <v>4</v>
      </c>
      <c r="B6" s="59" t="s">
        <v>36</v>
      </c>
      <c r="C6" s="64" t="s">
        <v>42</v>
      </c>
      <c r="D6" s="59" t="s">
        <v>38</v>
      </c>
      <c r="E6" s="60">
        <v>82.625</v>
      </c>
      <c r="F6" s="61" t="s">
        <v>40</v>
      </c>
      <c r="G6" s="19" t="s">
        <v>39</v>
      </c>
      <c r="H6" s="110"/>
      <c r="I6" s="62">
        <v>94080</v>
      </c>
      <c r="J6" s="62">
        <v>4700</v>
      </c>
      <c r="K6" s="62">
        <f t="shared" ref="K6:K11" si="1">SUM(I6:J6)</f>
        <v>98780</v>
      </c>
      <c r="L6" s="1">
        <f t="shared" si="0"/>
        <v>1138.6384266263237</v>
      </c>
      <c r="M6" s="63"/>
    </row>
    <row r="7" spans="1:14" ht="33" x14ac:dyDescent="0.3">
      <c r="A7" s="59">
        <v>5</v>
      </c>
      <c r="B7" s="59" t="s">
        <v>36</v>
      </c>
      <c r="C7" s="64" t="s">
        <v>43</v>
      </c>
      <c r="D7" s="59" t="s">
        <v>38</v>
      </c>
      <c r="E7" s="60">
        <v>72.375</v>
      </c>
      <c r="F7" s="61" t="s">
        <v>44</v>
      </c>
      <c r="G7" s="19" t="s">
        <v>39</v>
      </c>
      <c r="H7" s="110"/>
      <c r="I7" s="62">
        <v>83920</v>
      </c>
      <c r="J7" s="62">
        <v>4200</v>
      </c>
      <c r="K7" s="62">
        <f t="shared" si="1"/>
        <v>88120</v>
      </c>
      <c r="L7" s="1">
        <f t="shared" si="0"/>
        <v>1159.5164075993091</v>
      </c>
      <c r="M7" s="63"/>
    </row>
    <row r="8" spans="1:14" ht="33" x14ac:dyDescent="0.3">
      <c r="A8" s="59">
        <v>6</v>
      </c>
      <c r="B8" s="59" t="s">
        <v>36</v>
      </c>
      <c r="C8" s="64" t="s">
        <v>70</v>
      </c>
      <c r="D8" s="59" t="s">
        <v>118</v>
      </c>
      <c r="E8" s="60">
        <v>7307.66</v>
      </c>
      <c r="F8" s="61" t="s">
        <v>117</v>
      </c>
      <c r="G8" s="19" t="s">
        <v>116</v>
      </c>
      <c r="H8" s="110"/>
      <c r="I8" s="62">
        <v>2962900</v>
      </c>
      <c r="J8" s="62">
        <v>379255</v>
      </c>
      <c r="K8" s="62">
        <f t="shared" si="1"/>
        <v>3342155</v>
      </c>
      <c r="L8" s="1">
        <f t="shared" si="0"/>
        <v>405.45126620559796</v>
      </c>
      <c r="M8" s="63"/>
    </row>
    <row r="9" spans="1:14" ht="33" x14ac:dyDescent="0.3">
      <c r="A9" s="59">
        <v>7</v>
      </c>
      <c r="B9" s="59" t="s">
        <v>45</v>
      </c>
      <c r="C9" s="59" t="s">
        <v>46</v>
      </c>
      <c r="D9" s="59" t="s">
        <v>47</v>
      </c>
      <c r="E9" s="60">
        <v>468.69</v>
      </c>
      <c r="F9" s="61" t="s">
        <v>58</v>
      </c>
      <c r="G9" s="19" t="s">
        <v>39</v>
      </c>
      <c r="H9" s="110"/>
      <c r="I9" s="62">
        <v>422000</v>
      </c>
      <c r="J9" s="62">
        <v>4450</v>
      </c>
      <c r="K9" s="62">
        <f t="shared" si="1"/>
        <v>426450</v>
      </c>
      <c r="L9" s="1">
        <f t="shared" si="0"/>
        <v>900.38191555185733</v>
      </c>
      <c r="M9" s="63"/>
    </row>
    <row r="10" spans="1:14" ht="33" x14ac:dyDescent="0.3">
      <c r="A10" s="59">
        <v>8</v>
      </c>
      <c r="B10" s="59" t="s">
        <v>45</v>
      </c>
      <c r="C10" s="59" t="s">
        <v>55</v>
      </c>
      <c r="D10" s="59" t="s">
        <v>47</v>
      </c>
      <c r="E10" s="60">
        <v>461.38</v>
      </c>
      <c r="F10" s="61" t="s">
        <v>57</v>
      </c>
      <c r="G10" s="19" t="s">
        <v>39</v>
      </c>
      <c r="H10" s="110"/>
      <c r="I10" s="62">
        <v>415500</v>
      </c>
      <c r="J10" s="62">
        <v>4400</v>
      </c>
      <c r="K10" s="62">
        <f t="shared" si="1"/>
        <v>419900</v>
      </c>
      <c r="L10" s="1">
        <f t="shared" si="0"/>
        <v>900.5591919892496</v>
      </c>
      <c r="M10" s="63"/>
    </row>
    <row r="11" spans="1:14" ht="33" x14ac:dyDescent="0.3">
      <c r="A11" s="59">
        <v>9</v>
      </c>
      <c r="B11" s="59" t="s">
        <v>45</v>
      </c>
      <c r="C11" s="59" t="s">
        <v>56</v>
      </c>
      <c r="D11" s="59" t="s">
        <v>47</v>
      </c>
      <c r="E11" s="60">
        <v>614.80999999999995</v>
      </c>
      <c r="F11" s="61" t="s">
        <v>59</v>
      </c>
      <c r="G11" s="19" t="s">
        <v>39</v>
      </c>
      <c r="H11" s="111"/>
      <c r="I11" s="62">
        <v>553500</v>
      </c>
      <c r="J11" s="62">
        <v>5800</v>
      </c>
      <c r="K11" s="62">
        <f t="shared" si="1"/>
        <v>559300</v>
      </c>
      <c r="L11" s="1">
        <f t="shared" si="0"/>
        <v>900.27813470828391</v>
      </c>
      <c r="M11" s="63"/>
    </row>
    <row r="12" spans="1:14" x14ac:dyDescent="0.3">
      <c r="A12" s="106" t="s">
        <v>21</v>
      </c>
      <c r="B12" s="107"/>
      <c r="C12" s="107"/>
      <c r="D12" s="108"/>
      <c r="E12" s="65">
        <f>SUM(E3:E11)</f>
        <v>73383.77</v>
      </c>
      <c r="F12" s="66"/>
      <c r="G12" s="66"/>
      <c r="H12" s="66"/>
      <c r="I12" s="67">
        <f>SUM(I3:I11)</f>
        <v>7302900</v>
      </c>
      <c r="J12" s="67">
        <f t="shared" ref="J12:K12" si="2">SUM(J3:J11)</f>
        <v>758455</v>
      </c>
      <c r="K12" s="67">
        <f t="shared" si="2"/>
        <v>8061355</v>
      </c>
      <c r="M12" s="63"/>
    </row>
    <row r="13" spans="1:14" x14ac:dyDescent="0.3">
      <c r="M13" s="63"/>
    </row>
    <row r="14" spans="1:14" x14ac:dyDescent="0.3">
      <c r="A14" s="112" t="s">
        <v>119</v>
      </c>
      <c r="B14" s="112"/>
      <c r="C14" s="112"/>
      <c r="D14" s="112"/>
      <c r="E14" s="88">
        <v>72372.63</v>
      </c>
      <c r="M14" s="63"/>
    </row>
    <row r="15" spans="1:14" x14ac:dyDescent="0.3">
      <c r="M15" s="63"/>
    </row>
    <row r="16" spans="1:14" x14ac:dyDescent="0.3">
      <c r="A16" s="76" t="s">
        <v>62</v>
      </c>
      <c r="B16" s="76" t="s">
        <v>63</v>
      </c>
      <c r="C16" s="76" t="s">
        <v>64</v>
      </c>
      <c r="D16" s="76" t="s">
        <v>79</v>
      </c>
      <c r="E16" s="47" t="s">
        <v>81</v>
      </c>
      <c r="F16" s="1"/>
      <c r="G16" s="1"/>
      <c r="H16" s="1"/>
    </row>
    <row r="17" spans="1:8" x14ac:dyDescent="0.3">
      <c r="A17" s="77">
        <v>1</v>
      </c>
      <c r="B17" s="103" t="s">
        <v>66</v>
      </c>
      <c r="C17" s="77" t="s">
        <v>67</v>
      </c>
      <c r="D17" s="104" t="s">
        <v>80</v>
      </c>
      <c r="E17" s="78">
        <v>3633.04</v>
      </c>
      <c r="F17" s="1"/>
      <c r="G17" s="1"/>
      <c r="H17" s="1"/>
    </row>
    <row r="18" spans="1:8" x14ac:dyDescent="0.3">
      <c r="A18" s="77">
        <v>2</v>
      </c>
      <c r="B18" s="103"/>
      <c r="C18" s="77" t="s">
        <v>72</v>
      </c>
      <c r="D18" s="104"/>
      <c r="E18" s="78">
        <f>2991.72+641.32</f>
        <v>3633.04</v>
      </c>
      <c r="F18" s="1"/>
      <c r="G18" s="1"/>
      <c r="H18" s="1"/>
    </row>
    <row r="19" spans="1:8" x14ac:dyDescent="0.3">
      <c r="A19" s="77">
        <v>3</v>
      </c>
      <c r="B19" s="103"/>
      <c r="C19" s="77" t="s">
        <v>68</v>
      </c>
      <c r="D19" s="104"/>
      <c r="E19" s="78">
        <f>2155.29+1083.16</f>
        <v>3238.45</v>
      </c>
      <c r="F19" s="1"/>
      <c r="G19" s="1"/>
      <c r="H19" s="1"/>
    </row>
    <row r="20" spans="1:8" x14ac:dyDescent="0.3">
      <c r="A20" s="77">
        <v>4</v>
      </c>
      <c r="B20" s="103"/>
      <c r="C20" s="77" t="s">
        <v>69</v>
      </c>
      <c r="D20" s="104"/>
      <c r="E20" s="78">
        <f>2155.29+1083.16</f>
        <v>3238.45</v>
      </c>
      <c r="F20" s="1"/>
      <c r="G20" s="1"/>
      <c r="H20" s="1"/>
    </row>
    <row r="21" spans="1:8" x14ac:dyDescent="0.3">
      <c r="A21" s="77">
        <v>5</v>
      </c>
      <c r="B21" s="103"/>
      <c r="C21" s="77" t="s">
        <v>73</v>
      </c>
      <c r="D21" s="104"/>
      <c r="E21" s="78">
        <f>165.16+232.19</f>
        <v>397.35</v>
      </c>
      <c r="F21" s="1"/>
      <c r="G21" s="1"/>
      <c r="H21" s="1"/>
    </row>
    <row r="22" spans="1:8" x14ac:dyDescent="0.3">
      <c r="A22" s="77">
        <v>6</v>
      </c>
      <c r="B22" s="103" t="s">
        <v>65</v>
      </c>
      <c r="C22" s="77" t="s">
        <v>72</v>
      </c>
      <c r="D22" s="104">
        <v>2024</v>
      </c>
      <c r="E22" s="79">
        <v>753.81</v>
      </c>
      <c r="F22" s="1"/>
      <c r="G22" s="1"/>
      <c r="H22" s="1"/>
    </row>
    <row r="23" spans="1:8" x14ac:dyDescent="0.3">
      <c r="A23" s="77">
        <v>7</v>
      </c>
      <c r="B23" s="103"/>
      <c r="C23" s="77" t="s">
        <v>68</v>
      </c>
      <c r="D23" s="104"/>
      <c r="E23" s="79">
        <v>819.33</v>
      </c>
      <c r="F23" s="1"/>
      <c r="G23" s="1"/>
      <c r="H23" s="1"/>
    </row>
    <row r="24" spans="1:8" x14ac:dyDescent="0.3">
      <c r="A24" s="77">
        <v>8</v>
      </c>
      <c r="B24" s="103"/>
      <c r="C24" s="77" t="s">
        <v>75</v>
      </c>
      <c r="D24" s="104"/>
      <c r="E24" s="79">
        <v>28.19</v>
      </c>
      <c r="F24" s="1"/>
      <c r="G24" s="1"/>
      <c r="H24" s="1"/>
    </row>
    <row r="25" spans="1:8" x14ac:dyDescent="0.3">
      <c r="A25" s="77">
        <v>9</v>
      </c>
      <c r="B25" s="103" t="s">
        <v>76</v>
      </c>
      <c r="C25" s="77" t="s">
        <v>72</v>
      </c>
      <c r="D25" s="104">
        <v>2024</v>
      </c>
      <c r="E25" s="79">
        <v>285.85000000000002</v>
      </c>
      <c r="F25" s="1"/>
      <c r="G25" s="1"/>
      <c r="H25" s="1"/>
    </row>
    <row r="26" spans="1:8" x14ac:dyDescent="0.3">
      <c r="A26" s="77">
        <v>10</v>
      </c>
      <c r="B26" s="103"/>
      <c r="C26" s="77" t="s">
        <v>68</v>
      </c>
      <c r="D26" s="104"/>
      <c r="E26" s="79">
        <v>336.25</v>
      </c>
      <c r="F26" s="1"/>
      <c r="G26" s="1"/>
      <c r="H26" s="1"/>
    </row>
    <row r="27" spans="1:8" x14ac:dyDescent="0.3">
      <c r="A27" s="77">
        <v>11</v>
      </c>
      <c r="B27" s="103"/>
      <c r="C27" s="77" t="s">
        <v>75</v>
      </c>
      <c r="D27" s="104"/>
      <c r="E27" s="79">
        <v>24.28</v>
      </c>
      <c r="F27" s="1"/>
      <c r="G27" s="1"/>
      <c r="H27" s="1"/>
    </row>
    <row r="28" spans="1:8" x14ac:dyDescent="0.3">
      <c r="A28" s="77">
        <v>12</v>
      </c>
      <c r="B28" s="103" t="s">
        <v>77</v>
      </c>
      <c r="C28" s="77" t="s">
        <v>72</v>
      </c>
      <c r="D28" s="104">
        <v>2024</v>
      </c>
      <c r="E28" s="79">
        <v>139.71</v>
      </c>
      <c r="F28" s="1"/>
      <c r="G28" s="1"/>
      <c r="H28" s="1"/>
    </row>
    <row r="29" spans="1:8" x14ac:dyDescent="0.3">
      <c r="A29" s="77">
        <v>13</v>
      </c>
      <c r="B29" s="103"/>
      <c r="C29" s="77" t="s">
        <v>68</v>
      </c>
      <c r="D29" s="104"/>
      <c r="E29" s="79">
        <v>165.19</v>
      </c>
      <c r="F29" s="1"/>
      <c r="G29" s="1"/>
      <c r="H29" s="1"/>
    </row>
    <row r="30" spans="1:8" x14ac:dyDescent="0.3">
      <c r="A30" s="77">
        <v>14</v>
      </c>
      <c r="B30" s="103"/>
      <c r="C30" s="77" t="s">
        <v>75</v>
      </c>
      <c r="D30" s="104"/>
      <c r="E30" s="80">
        <v>14.65</v>
      </c>
    </row>
    <row r="31" spans="1:8" x14ac:dyDescent="0.3">
      <c r="A31" s="77">
        <v>15</v>
      </c>
      <c r="B31" s="81" t="s">
        <v>78</v>
      </c>
      <c r="C31" s="77" t="s">
        <v>72</v>
      </c>
      <c r="D31" s="59">
        <v>2024</v>
      </c>
      <c r="E31" s="80">
        <v>1378.94</v>
      </c>
    </row>
    <row r="32" spans="1:8" x14ac:dyDescent="0.3">
      <c r="A32" s="77">
        <v>16</v>
      </c>
      <c r="B32" s="81" t="s">
        <v>82</v>
      </c>
      <c r="C32" s="77" t="s">
        <v>89</v>
      </c>
      <c r="D32" s="82">
        <v>2024</v>
      </c>
      <c r="E32" s="80">
        <f>3.14*15*15</f>
        <v>706.5</v>
      </c>
    </row>
    <row r="33" spans="1:5" x14ac:dyDescent="0.3">
      <c r="A33" s="77">
        <v>17</v>
      </c>
      <c r="B33" s="81" t="s">
        <v>83</v>
      </c>
      <c r="C33" s="77" t="s">
        <v>91</v>
      </c>
      <c r="D33" s="82">
        <v>2024</v>
      </c>
      <c r="E33" s="80">
        <f>9.05*17.48</f>
        <v>158.19400000000002</v>
      </c>
    </row>
    <row r="34" spans="1:5" x14ac:dyDescent="0.3">
      <c r="A34" s="77">
        <v>18</v>
      </c>
      <c r="B34" s="81" t="s">
        <v>84</v>
      </c>
      <c r="C34" s="77" t="s">
        <v>90</v>
      </c>
      <c r="D34" s="82">
        <v>2024</v>
      </c>
      <c r="E34" s="80">
        <f>15*5</f>
        <v>75</v>
      </c>
    </row>
    <row r="35" spans="1:5" x14ac:dyDescent="0.3">
      <c r="A35" s="77">
        <v>19</v>
      </c>
      <c r="B35" s="81" t="s">
        <v>85</v>
      </c>
      <c r="C35" s="77" t="s">
        <v>88</v>
      </c>
      <c r="D35" s="82">
        <v>2024</v>
      </c>
      <c r="E35" s="80">
        <f>19*16</f>
        <v>304</v>
      </c>
    </row>
    <row r="36" spans="1:5" x14ac:dyDescent="0.3">
      <c r="A36" s="77">
        <v>20</v>
      </c>
      <c r="B36" s="81" t="s">
        <v>86</v>
      </c>
      <c r="C36" s="77" t="s">
        <v>87</v>
      </c>
      <c r="D36" s="82">
        <v>2024</v>
      </c>
      <c r="E36" s="80">
        <f>(8.5*33)+(1.5*15)</f>
        <v>303</v>
      </c>
    </row>
    <row r="37" spans="1:5" x14ac:dyDescent="0.3">
      <c r="B37" s="71"/>
      <c r="D37" s="57"/>
    </row>
    <row r="38" spans="1:5" x14ac:dyDescent="0.3">
      <c r="B38" s="71"/>
    </row>
    <row r="39" spans="1:5" x14ac:dyDescent="0.3">
      <c r="B39" s="71"/>
    </row>
    <row r="40" spans="1:5" x14ac:dyDescent="0.3">
      <c r="B40" s="71"/>
    </row>
  </sheetData>
  <mergeCells count="12">
    <mergeCell ref="A1:G1"/>
    <mergeCell ref="A12:D12"/>
    <mergeCell ref="H3:H11"/>
    <mergeCell ref="B17:B21"/>
    <mergeCell ref="B22:B24"/>
    <mergeCell ref="A14:D14"/>
    <mergeCell ref="B25:B27"/>
    <mergeCell ref="B28:B30"/>
    <mergeCell ref="D17:D21"/>
    <mergeCell ref="D22:D24"/>
    <mergeCell ref="D25:D27"/>
    <mergeCell ref="D28:D30"/>
  </mergeCells>
  <pageMargins left="0.7" right="0.7" top="0.75" bottom="0.75" header="0.3" footer="0.3"/>
  <pageSetup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K25" sqref="K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selection activeCell="C8" sqref="C8"/>
    </sheetView>
  </sheetViews>
  <sheetFormatPr defaultRowHeight="15" x14ac:dyDescent="0.25"/>
  <cols>
    <col min="1" max="1" width="4.5703125" customWidth="1"/>
    <col min="2" max="2" width="16" style="52" customWidth="1"/>
    <col min="3" max="3" width="22.140625" style="52" customWidth="1"/>
    <col min="4" max="4" width="16.42578125" style="52" bestFit="1" customWidth="1"/>
    <col min="5" max="5" width="18.28515625" customWidth="1"/>
    <col min="6" max="6" width="19.85546875" bestFit="1" customWidth="1"/>
    <col min="7" max="7" width="11.85546875" bestFit="1" customWidth="1"/>
  </cols>
  <sheetData>
    <row r="1" spans="1:7" x14ac:dyDescent="0.25">
      <c r="A1" t="s">
        <v>23</v>
      </c>
      <c r="B1" s="52" t="s">
        <v>24</v>
      </c>
      <c r="C1" s="52" t="s">
        <v>25</v>
      </c>
      <c r="D1" s="52" t="s">
        <v>26</v>
      </c>
      <c r="E1" s="52" t="s">
        <v>113</v>
      </c>
      <c r="F1" s="52" t="s">
        <v>15</v>
      </c>
    </row>
    <row r="2" spans="1:7" x14ac:dyDescent="0.25">
      <c r="A2">
        <v>1</v>
      </c>
      <c r="B2" s="52">
        <f>2900*4047</f>
        <v>11736300</v>
      </c>
      <c r="C2" s="52">
        <v>7250000000</v>
      </c>
      <c r="D2" s="52">
        <f>Table1[[#This Row],[VALUE ]]/Table1[[#This Row],[AREA IN SQ. M.]]</f>
        <v>617.74153694094389</v>
      </c>
      <c r="E2" s="52"/>
      <c r="F2" s="52"/>
    </row>
    <row r="3" spans="1:7" ht="30" x14ac:dyDescent="0.25">
      <c r="A3">
        <v>2</v>
      </c>
      <c r="B3" s="52">
        <v>1486.45</v>
      </c>
      <c r="C3" s="52">
        <f>64000000-Table1[[#This Row],[Structure Value]]</f>
        <v>10487800</v>
      </c>
      <c r="D3" s="52">
        <f>Table1[[#This Row],[VALUE ]]/Table1[[#This Row],[AREA IN SQ. M.]]</f>
        <v>7055.6022738739948</v>
      </c>
      <c r="E3" s="87" t="s">
        <v>114</v>
      </c>
      <c r="F3" s="52">
        <f>Table1[[#This Row],[AREA IN SQ. M.]]*12000*3</f>
        <v>53512200</v>
      </c>
    </row>
    <row r="4" spans="1:7" x14ac:dyDescent="0.25">
      <c r="A4">
        <v>3</v>
      </c>
      <c r="B4" s="52">
        <v>3716</v>
      </c>
      <c r="C4" s="52">
        <v>11900000</v>
      </c>
      <c r="D4" s="52">
        <f>Table1[[#This Row],[VALUE ]]/Table1[[#This Row],[AREA IN SQ. M.]]</f>
        <v>3202.3681377825619</v>
      </c>
      <c r="E4" s="52"/>
      <c r="F4" s="52"/>
    </row>
    <row r="5" spans="1:7" ht="30" x14ac:dyDescent="0.25">
      <c r="A5">
        <v>4</v>
      </c>
      <c r="B5" s="52">
        <v>5263.01</v>
      </c>
      <c r="C5" s="52">
        <f>40000000-Table1[[#This Row],[Structure Value]]</f>
        <v>12118960</v>
      </c>
      <c r="D5" s="52">
        <f>Table1[[#This Row],[VALUE ]]/Table1[[#This Row],[AREA IN SQ. M.]]</f>
        <v>2302.667104945649</v>
      </c>
      <c r="E5" s="87" t="s">
        <v>115</v>
      </c>
      <c r="F5" s="52">
        <f>2323.42*12000</f>
        <v>27881040</v>
      </c>
    </row>
    <row r="6" spans="1:7" x14ac:dyDescent="0.25">
      <c r="A6">
        <v>5</v>
      </c>
      <c r="B6" s="52">
        <v>3127.12</v>
      </c>
      <c r="C6" s="52">
        <v>58000000</v>
      </c>
      <c r="D6" s="52">
        <f>Table1[[#This Row],[VALUE ]]/Table1[[#This Row],[AREA IN SQ. M.]]</f>
        <v>18547.417432014121</v>
      </c>
      <c r="E6" s="52"/>
      <c r="F6" s="52"/>
    </row>
    <row r="7" spans="1:7" x14ac:dyDescent="0.25">
      <c r="A7">
        <v>6</v>
      </c>
      <c r="B7" s="52">
        <f>56630/10.764</f>
        <v>5261.0553697510222</v>
      </c>
      <c r="C7" s="52">
        <v>40000000</v>
      </c>
      <c r="D7" s="52">
        <f>Table1[[#This Row],[VALUE ]]/Table1[[#This Row],[AREA IN SQ. M.]]</f>
        <v>7603.0372594031423</v>
      </c>
      <c r="E7" s="52"/>
      <c r="F7" s="52"/>
    </row>
    <row r="8" spans="1:7" x14ac:dyDescent="0.25">
      <c r="A8">
        <v>7</v>
      </c>
      <c r="B8" s="52">
        <v>4047</v>
      </c>
      <c r="C8" s="52">
        <v>5900000</v>
      </c>
      <c r="D8" s="52">
        <f>Table1[[#This Row],[VALUE ]]/Table1[[#This Row],[AREA IN SQ. M.]]</f>
        <v>1457.8700271806276</v>
      </c>
      <c r="E8" s="52"/>
      <c r="F8" s="52"/>
    </row>
    <row r="9" spans="1:7" x14ac:dyDescent="0.25">
      <c r="B9" s="99">
        <v>92.9</v>
      </c>
      <c r="C9" s="99">
        <f>6500000-Table1[[#This Row],[Structure Value]]</f>
        <v>2660000</v>
      </c>
      <c r="D9" s="52">
        <f>Table1[[#This Row],[VALUE ]]/Table1[[#This Row],[AREA IN SQ. M.]]</f>
        <v>28632.938643702906</v>
      </c>
      <c r="E9" s="52" t="s">
        <v>136</v>
      </c>
      <c r="F9" s="99">
        <f>1600*1.2*2000</f>
        <v>3840000</v>
      </c>
    </row>
    <row r="11" spans="1:7" x14ac:dyDescent="0.25">
      <c r="A11" s="113" t="s">
        <v>121</v>
      </c>
      <c r="B11" s="113"/>
      <c r="C11" s="113"/>
      <c r="D11" s="113"/>
      <c r="E11" s="113"/>
      <c r="F11" s="113"/>
    </row>
    <row r="12" spans="1:7" x14ac:dyDescent="0.25">
      <c r="A12" t="s">
        <v>62</v>
      </c>
      <c r="B12" s="52" t="s">
        <v>122</v>
      </c>
      <c r="C12" s="52" t="s">
        <v>123</v>
      </c>
      <c r="D12" s="52" t="s">
        <v>124</v>
      </c>
      <c r="E12" s="52" t="s">
        <v>127</v>
      </c>
      <c r="F12" s="52" t="s">
        <v>125</v>
      </c>
      <c r="G12" s="52" t="s">
        <v>126</v>
      </c>
    </row>
    <row r="13" spans="1:7" s="95" customFormat="1" ht="45" x14ac:dyDescent="0.25">
      <c r="A13" s="95">
        <v>1</v>
      </c>
      <c r="B13" s="96" t="s">
        <v>128</v>
      </c>
      <c r="C13" s="96" t="s">
        <v>129</v>
      </c>
      <c r="D13" s="97">
        <v>675</v>
      </c>
      <c r="E13" s="95" t="s">
        <v>130</v>
      </c>
      <c r="F13" s="97">
        <v>1350000</v>
      </c>
      <c r="G13" s="97">
        <f>F13/D13</f>
        <v>2000</v>
      </c>
    </row>
    <row r="14" spans="1:7" ht="60" x14ac:dyDescent="0.25">
      <c r="A14" s="95">
        <v>2</v>
      </c>
      <c r="B14" s="96" t="s">
        <v>132</v>
      </c>
      <c r="C14" s="96" t="s">
        <v>131</v>
      </c>
      <c r="D14" s="97">
        <v>603.82000000000005</v>
      </c>
      <c r="E14" s="95" t="s">
        <v>130</v>
      </c>
      <c r="F14" s="97">
        <v>940000</v>
      </c>
      <c r="G14" s="97">
        <f>F14/D14</f>
        <v>1556.755324434434</v>
      </c>
    </row>
    <row r="15" spans="1:7" ht="45" x14ac:dyDescent="0.25">
      <c r="A15" s="95">
        <v>3</v>
      </c>
      <c r="B15" s="96" t="s">
        <v>132</v>
      </c>
      <c r="C15" s="96" t="s">
        <v>133</v>
      </c>
      <c r="D15" s="97">
        <v>630</v>
      </c>
      <c r="E15" s="95" t="s">
        <v>130</v>
      </c>
      <c r="F15" s="97">
        <v>950000</v>
      </c>
      <c r="G15" s="97">
        <f>F15/D15</f>
        <v>1507.936507936508</v>
      </c>
    </row>
    <row r="16" spans="1:7" ht="120" x14ac:dyDescent="0.25">
      <c r="A16" s="95">
        <v>4</v>
      </c>
      <c r="C16" s="96" t="s">
        <v>134</v>
      </c>
      <c r="F16" s="97">
        <v>3315000</v>
      </c>
      <c r="G16" s="97" t="e">
        <f t="shared" ref="G16:G17" si="0">F16/D16</f>
        <v>#DIV/0!</v>
      </c>
    </row>
    <row r="17" spans="1:7" ht="90" x14ac:dyDescent="0.25">
      <c r="A17" s="95">
        <v>5</v>
      </c>
      <c r="B17" s="96" t="s">
        <v>132</v>
      </c>
      <c r="C17" s="96" t="s">
        <v>135</v>
      </c>
      <c r="E17" s="95" t="s">
        <v>130</v>
      </c>
      <c r="F17" s="97">
        <v>967000</v>
      </c>
      <c r="G17" s="97" t="e">
        <f t="shared" si="0"/>
        <v>#DIV/0!</v>
      </c>
    </row>
    <row r="18" spans="1:7" x14ac:dyDescent="0.25">
      <c r="F18" s="52"/>
      <c r="G18" s="52"/>
    </row>
    <row r="19" spans="1:7" x14ac:dyDescent="0.25">
      <c r="F19" s="52"/>
      <c r="G19" s="52"/>
    </row>
  </sheetData>
  <mergeCells count="1">
    <mergeCell ref="A11:F11"/>
  </mergeCell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A3B1A-B8B1-447D-9717-A136758A1A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5BD1F-911F-4E8E-A65B-1D83EEF3ECE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5902B-5D0E-43CA-9846-99A4B2E82EA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DD877-8571-4AA2-A8CA-D68660C794B7}">
  <dimension ref="A1"/>
  <sheetViews>
    <sheetView workbookViewId="0">
      <selection activeCell="Y14" sqref="Y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B2403-5E12-4E5C-80E5-D8B4D5A05B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 sheet</vt:lpstr>
      <vt:lpstr>Area</vt:lpstr>
      <vt:lpstr>Jantri Rate</vt:lpstr>
      <vt:lpstr>Rate Summary</vt:lpstr>
      <vt:lpstr>Sheet1</vt:lpstr>
      <vt:lpstr>Sheet2</vt:lpstr>
      <vt:lpstr>Sheet3</vt:lpstr>
      <vt:lpstr>Sheet4</vt:lpstr>
      <vt:lpstr>Sheet5</vt:lpstr>
      <vt:lpstr>Sheet6</vt:lpstr>
      <vt:lpstr>Sheet7</vt:lpstr>
      <vt:lpstr>Mahendra Brothers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cp:lastPrinted>2024-09-11T04:36:51Z</cp:lastPrinted>
  <dcterms:created xsi:type="dcterms:W3CDTF">2014-10-16T12:20:47Z</dcterms:created>
  <dcterms:modified xsi:type="dcterms:W3CDTF">2024-09-11T04:36:54Z</dcterms:modified>
</cp:coreProperties>
</file>