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Marvelous Metals (P) Ltd. -Kolhapur\Plot -E3\"/>
    </mc:Choice>
  </mc:AlternateContent>
  <xr:revisionPtr revIDLastSave="0" documentId="13_ncr:1_{8AFD3565-CBDB-4B12-8D48-9C912ADB929A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Valuation " sheetId="4" r:id="rId1"/>
    <sheet name="Final" sheetId="11" r:id="rId2"/>
    <sheet name="Final (2)" sheetId="12" r:id="rId3"/>
    <sheet name="Final (3)" sheetId="14" r:id="rId4"/>
    <sheet name="Sheet1" sheetId="5" r:id="rId5"/>
    <sheet name="Sheet3" sheetId="7" r:id="rId6"/>
    <sheet name="Sheet4" sheetId="8" r:id="rId7"/>
    <sheet name="Sheet5" sheetId="9" r:id="rId8"/>
    <sheet name="Sheet6" sheetId="10" r:id="rId9"/>
  </sheets>
  <calcPr calcId="191029"/>
</workbook>
</file>

<file path=xl/calcChain.xml><?xml version="1.0" encoding="utf-8"?>
<calcChain xmlns="http://schemas.openxmlformats.org/spreadsheetml/2006/main">
  <c r="C128" i="14" l="1"/>
  <c r="B97" i="14"/>
  <c r="B98" i="14" s="1"/>
  <c r="C44" i="14"/>
  <c r="C38" i="14"/>
  <c r="C33" i="14"/>
  <c r="F29" i="14"/>
  <c r="H30" i="14" s="1"/>
  <c r="K28" i="14"/>
  <c r="L28" i="14" s="1"/>
  <c r="C28" i="14"/>
  <c r="O27" i="14"/>
  <c r="J27" i="14"/>
  <c r="K27" i="14" s="1"/>
  <c r="L27" i="14" s="1"/>
  <c r="N27" i="14" s="1"/>
  <c r="M27" i="14" s="1"/>
  <c r="I27" i="14"/>
  <c r="H27" i="14"/>
  <c r="O26" i="14"/>
  <c r="J26" i="14"/>
  <c r="K26" i="14" s="1"/>
  <c r="L26" i="14" s="1"/>
  <c r="N26" i="14" s="1"/>
  <c r="M26" i="14" s="1"/>
  <c r="O25" i="14"/>
  <c r="H25" i="14"/>
  <c r="J25" i="14" s="1"/>
  <c r="K25" i="14" s="1"/>
  <c r="L25" i="14" s="1"/>
  <c r="N25" i="14" s="1"/>
  <c r="O24" i="14"/>
  <c r="H24" i="14"/>
  <c r="J24" i="14" s="1"/>
  <c r="K24" i="14" s="1"/>
  <c r="L24" i="14" s="1"/>
  <c r="N24" i="14" s="1"/>
  <c r="O23" i="14"/>
  <c r="H23" i="14"/>
  <c r="J23" i="14" s="1"/>
  <c r="K23" i="14" s="1"/>
  <c r="L23" i="14" s="1"/>
  <c r="N23" i="14" s="1"/>
  <c r="O22" i="14"/>
  <c r="H22" i="14"/>
  <c r="J22" i="14" s="1"/>
  <c r="K22" i="14" s="1"/>
  <c r="L22" i="14" s="1"/>
  <c r="N22" i="14" s="1"/>
  <c r="O21" i="14"/>
  <c r="H21" i="14"/>
  <c r="J21" i="14" s="1"/>
  <c r="K21" i="14" s="1"/>
  <c r="L21" i="14" s="1"/>
  <c r="N21" i="14" s="1"/>
  <c r="O20" i="14"/>
  <c r="H20" i="14"/>
  <c r="J20" i="14" s="1"/>
  <c r="K20" i="14" s="1"/>
  <c r="L20" i="14" s="1"/>
  <c r="N20" i="14" s="1"/>
  <c r="O19" i="14"/>
  <c r="H19" i="14"/>
  <c r="J19" i="14" s="1"/>
  <c r="K19" i="14" s="1"/>
  <c r="L19" i="14" s="1"/>
  <c r="N19" i="14" s="1"/>
  <c r="O18" i="14"/>
  <c r="H18" i="14"/>
  <c r="J18" i="14" s="1"/>
  <c r="K18" i="14" s="1"/>
  <c r="L18" i="14" s="1"/>
  <c r="N18" i="14" s="1"/>
  <c r="O17" i="14"/>
  <c r="H17" i="14"/>
  <c r="J17" i="14" s="1"/>
  <c r="K17" i="14" s="1"/>
  <c r="L17" i="14" s="1"/>
  <c r="N17" i="14" s="1"/>
  <c r="O16" i="14"/>
  <c r="H16" i="14"/>
  <c r="J16" i="14" s="1"/>
  <c r="K16" i="14" s="1"/>
  <c r="L16" i="14" s="1"/>
  <c r="N16" i="14" s="1"/>
  <c r="C11" i="14"/>
  <c r="C41" i="14" s="1"/>
  <c r="G8" i="14"/>
  <c r="C1" i="14"/>
  <c r="C46" i="12"/>
  <c r="C38" i="12"/>
  <c r="H30" i="12"/>
  <c r="F29" i="12"/>
  <c r="C1" i="12"/>
  <c r="M17" i="14" l="1"/>
  <c r="N28" i="14"/>
  <c r="M19" i="14"/>
  <c r="M21" i="14"/>
  <c r="M23" i="14"/>
  <c r="M25" i="14"/>
  <c r="M16" i="14"/>
  <c r="M18" i="14"/>
  <c r="M20" i="14"/>
  <c r="M22" i="14"/>
  <c r="M24" i="14"/>
  <c r="O28" i="14"/>
  <c r="I16" i="14"/>
  <c r="I17" i="14"/>
  <c r="I18" i="14"/>
  <c r="I19" i="14"/>
  <c r="I20" i="14"/>
  <c r="I21" i="14"/>
  <c r="I22" i="14"/>
  <c r="I23" i="14"/>
  <c r="I24" i="14"/>
  <c r="I25" i="14"/>
  <c r="C42" i="14" l="1"/>
  <c r="G9" i="14"/>
  <c r="G10" i="14" s="1"/>
  <c r="N33" i="14"/>
  <c r="C48" i="14" l="1"/>
  <c r="C45" i="14"/>
  <c r="C47" i="14" l="1"/>
  <c r="C46" i="14"/>
  <c r="C128" i="12" l="1"/>
  <c r="B97" i="12"/>
  <c r="B98" i="12" s="1"/>
  <c r="C33" i="12"/>
  <c r="K28" i="12"/>
  <c r="L28" i="12" s="1"/>
  <c r="C28" i="12"/>
  <c r="C44" i="12" s="1"/>
  <c r="O27" i="12"/>
  <c r="H27" i="12"/>
  <c r="I27" i="12" s="1"/>
  <c r="O26" i="12"/>
  <c r="J26" i="12"/>
  <c r="K26" i="12" s="1"/>
  <c r="L26" i="12" s="1"/>
  <c r="N26" i="12" s="1"/>
  <c r="M26" i="12" s="1"/>
  <c r="O25" i="12"/>
  <c r="J25" i="12"/>
  <c r="K25" i="12" s="1"/>
  <c r="L25" i="12" s="1"/>
  <c r="N25" i="12" s="1"/>
  <c r="H25" i="12"/>
  <c r="I25" i="12" s="1"/>
  <c r="O24" i="12"/>
  <c r="J24" i="12"/>
  <c r="K24" i="12" s="1"/>
  <c r="L24" i="12" s="1"/>
  <c r="N24" i="12" s="1"/>
  <c r="H24" i="12"/>
  <c r="I24" i="12" s="1"/>
  <c r="O23" i="12"/>
  <c r="M23" i="12" s="1"/>
  <c r="J23" i="12"/>
  <c r="K23" i="12" s="1"/>
  <c r="L23" i="12" s="1"/>
  <c r="N23" i="12" s="1"/>
  <c r="H23" i="12"/>
  <c r="I23" i="12" s="1"/>
  <c r="O22" i="12"/>
  <c r="J22" i="12"/>
  <c r="K22" i="12" s="1"/>
  <c r="L22" i="12" s="1"/>
  <c r="N22" i="12" s="1"/>
  <c r="H22" i="12"/>
  <c r="I22" i="12" s="1"/>
  <c r="O21" i="12"/>
  <c r="J21" i="12"/>
  <c r="K21" i="12" s="1"/>
  <c r="L21" i="12" s="1"/>
  <c r="N21" i="12" s="1"/>
  <c r="H21" i="12"/>
  <c r="I21" i="12" s="1"/>
  <c r="O20" i="12"/>
  <c r="M20" i="12" s="1"/>
  <c r="J20" i="12"/>
  <c r="K20" i="12" s="1"/>
  <c r="L20" i="12" s="1"/>
  <c r="N20" i="12" s="1"/>
  <c r="H20" i="12"/>
  <c r="I20" i="12" s="1"/>
  <c r="O19" i="12"/>
  <c r="M19" i="12" s="1"/>
  <c r="J19" i="12"/>
  <c r="K19" i="12" s="1"/>
  <c r="L19" i="12" s="1"/>
  <c r="N19" i="12" s="1"/>
  <c r="H19" i="12"/>
  <c r="I19" i="12" s="1"/>
  <c r="O18" i="12"/>
  <c r="J18" i="12"/>
  <c r="K18" i="12" s="1"/>
  <c r="L18" i="12" s="1"/>
  <c r="N18" i="12" s="1"/>
  <c r="H18" i="12"/>
  <c r="I18" i="12" s="1"/>
  <c r="O17" i="12"/>
  <c r="J17" i="12"/>
  <c r="K17" i="12" s="1"/>
  <c r="L17" i="12" s="1"/>
  <c r="N17" i="12" s="1"/>
  <c r="H17" i="12"/>
  <c r="I17" i="12" s="1"/>
  <c r="O16" i="12"/>
  <c r="M16" i="12" s="1"/>
  <c r="J16" i="12"/>
  <c r="K16" i="12" s="1"/>
  <c r="L16" i="12" s="1"/>
  <c r="N16" i="12" s="1"/>
  <c r="H16" i="12"/>
  <c r="I16" i="12" s="1"/>
  <c r="C11" i="12"/>
  <c r="C41" i="12" s="1"/>
  <c r="G8" i="12"/>
  <c r="C47" i="11"/>
  <c r="C46" i="11"/>
  <c r="G10" i="11"/>
  <c r="G9" i="11"/>
  <c r="G8" i="11"/>
  <c r="C48" i="11"/>
  <c r="C38" i="11"/>
  <c r="C128" i="11"/>
  <c r="B97" i="11"/>
  <c r="B98" i="11" s="1"/>
  <c r="C33" i="11"/>
  <c r="L28" i="11"/>
  <c r="K28" i="11"/>
  <c r="C28" i="11"/>
  <c r="C36" i="11" s="1"/>
  <c r="O27" i="11"/>
  <c r="H27" i="11"/>
  <c r="J27" i="11" s="1"/>
  <c r="K27" i="11" s="1"/>
  <c r="L27" i="11" s="1"/>
  <c r="N27" i="11" s="1"/>
  <c r="O26" i="11"/>
  <c r="J26" i="11"/>
  <c r="K26" i="11" s="1"/>
  <c r="L26" i="11" s="1"/>
  <c r="N26" i="11" s="1"/>
  <c r="O25" i="11"/>
  <c r="H25" i="11"/>
  <c r="J25" i="11" s="1"/>
  <c r="K25" i="11" s="1"/>
  <c r="L25" i="11" s="1"/>
  <c r="N25" i="11" s="1"/>
  <c r="M25" i="11" s="1"/>
  <c r="O24" i="11"/>
  <c r="H24" i="11"/>
  <c r="J24" i="11" s="1"/>
  <c r="K24" i="11" s="1"/>
  <c r="L24" i="11" s="1"/>
  <c r="N24" i="11" s="1"/>
  <c r="M24" i="11" s="1"/>
  <c r="O23" i="11"/>
  <c r="H23" i="11"/>
  <c r="J23" i="11" s="1"/>
  <c r="K23" i="11" s="1"/>
  <c r="L23" i="11" s="1"/>
  <c r="N23" i="11" s="1"/>
  <c r="O22" i="11"/>
  <c r="H22" i="11"/>
  <c r="J22" i="11" s="1"/>
  <c r="K22" i="11" s="1"/>
  <c r="L22" i="11" s="1"/>
  <c r="N22" i="11" s="1"/>
  <c r="M22" i="11" s="1"/>
  <c r="O21" i="11"/>
  <c r="H21" i="11"/>
  <c r="J21" i="11" s="1"/>
  <c r="K21" i="11" s="1"/>
  <c r="L21" i="11" s="1"/>
  <c r="N21" i="11" s="1"/>
  <c r="M21" i="11" s="1"/>
  <c r="O20" i="11"/>
  <c r="H20" i="11"/>
  <c r="J20" i="11" s="1"/>
  <c r="K20" i="11" s="1"/>
  <c r="L20" i="11" s="1"/>
  <c r="N20" i="11" s="1"/>
  <c r="M20" i="11" s="1"/>
  <c r="O19" i="11"/>
  <c r="H19" i="11"/>
  <c r="J19" i="11" s="1"/>
  <c r="K19" i="11" s="1"/>
  <c r="L19" i="11" s="1"/>
  <c r="N19" i="11" s="1"/>
  <c r="M19" i="11" s="1"/>
  <c r="O18" i="11"/>
  <c r="H18" i="11"/>
  <c r="J18" i="11" s="1"/>
  <c r="K18" i="11" s="1"/>
  <c r="L18" i="11" s="1"/>
  <c r="N18" i="11" s="1"/>
  <c r="M18" i="11" s="1"/>
  <c r="O17" i="11"/>
  <c r="H17" i="11"/>
  <c r="J17" i="11" s="1"/>
  <c r="K17" i="11" s="1"/>
  <c r="L17" i="11" s="1"/>
  <c r="N17" i="11" s="1"/>
  <c r="M17" i="11" s="1"/>
  <c r="O16" i="11"/>
  <c r="H16" i="11"/>
  <c r="J16" i="11" s="1"/>
  <c r="K16" i="11" s="1"/>
  <c r="L16" i="11" s="1"/>
  <c r="N16" i="11" s="1"/>
  <c r="C11" i="11"/>
  <c r="C41" i="11" s="1"/>
  <c r="M24" i="12" l="1"/>
  <c r="M17" i="12"/>
  <c r="M21" i="12"/>
  <c r="M25" i="12"/>
  <c r="M18" i="12"/>
  <c r="M22" i="12"/>
  <c r="J27" i="12"/>
  <c r="K27" i="12" s="1"/>
  <c r="L27" i="12" s="1"/>
  <c r="N27" i="12" s="1"/>
  <c r="M27" i="12" s="1"/>
  <c r="O28" i="12"/>
  <c r="C44" i="11"/>
  <c r="M23" i="11"/>
  <c r="O28" i="11"/>
  <c r="M27" i="11"/>
  <c r="N28" i="11"/>
  <c r="M16" i="11"/>
  <c r="M26" i="11"/>
  <c r="I16" i="11"/>
  <c r="I17" i="11"/>
  <c r="I18" i="11"/>
  <c r="I19" i="11"/>
  <c r="I20" i="11"/>
  <c r="I21" i="11"/>
  <c r="I22" i="11"/>
  <c r="I23" i="11"/>
  <c r="I24" i="11"/>
  <c r="I25" i="11"/>
  <c r="I27" i="11"/>
  <c r="C36" i="4"/>
  <c r="M14" i="7"/>
  <c r="M13" i="7"/>
  <c r="AA12" i="5"/>
  <c r="M14" i="5"/>
  <c r="N28" i="12" l="1"/>
  <c r="C42" i="11"/>
  <c r="C45" i="11" s="1"/>
  <c r="N33" i="11"/>
  <c r="O26" i="4"/>
  <c r="J26" i="4"/>
  <c r="K26" i="4" s="1"/>
  <c r="L26" i="4" s="1"/>
  <c r="N26" i="4" s="1"/>
  <c r="M26" i="4" s="1"/>
  <c r="O25" i="4"/>
  <c r="H25" i="4"/>
  <c r="J25" i="4" s="1"/>
  <c r="K25" i="4" s="1"/>
  <c r="L25" i="4" s="1"/>
  <c r="N25" i="4" s="1"/>
  <c r="O24" i="4"/>
  <c r="H24" i="4"/>
  <c r="J24" i="4" s="1"/>
  <c r="K24" i="4" s="1"/>
  <c r="L24" i="4" s="1"/>
  <c r="N24" i="4" s="1"/>
  <c r="O23" i="4"/>
  <c r="H23" i="4"/>
  <c r="J23" i="4" s="1"/>
  <c r="K23" i="4" s="1"/>
  <c r="L23" i="4" s="1"/>
  <c r="N23" i="4" s="1"/>
  <c r="O22" i="4"/>
  <c r="H22" i="4"/>
  <c r="J22" i="4" s="1"/>
  <c r="K22" i="4" s="1"/>
  <c r="L22" i="4" s="1"/>
  <c r="N22" i="4" s="1"/>
  <c r="O21" i="4"/>
  <c r="H21" i="4"/>
  <c r="J21" i="4" s="1"/>
  <c r="K21" i="4" s="1"/>
  <c r="L21" i="4" s="1"/>
  <c r="N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O18" i="4"/>
  <c r="H18" i="4"/>
  <c r="J18" i="4" s="1"/>
  <c r="K18" i="4" s="1"/>
  <c r="L18" i="4" s="1"/>
  <c r="N18" i="4" s="1"/>
  <c r="O17" i="4"/>
  <c r="H17" i="4"/>
  <c r="J17" i="4" s="1"/>
  <c r="K17" i="4" s="1"/>
  <c r="L17" i="4" s="1"/>
  <c r="N17" i="4" s="1"/>
  <c r="C42" i="12" l="1"/>
  <c r="N33" i="12"/>
  <c r="G9" i="12"/>
  <c r="G10" i="12" s="1"/>
  <c r="M17" i="4"/>
  <c r="M19" i="4"/>
  <c r="M21" i="4"/>
  <c r="M23" i="4"/>
  <c r="M25" i="4"/>
  <c r="M18" i="4"/>
  <c r="M20" i="4"/>
  <c r="M22" i="4"/>
  <c r="M24" i="4"/>
  <c r="I17" i="4"/>
  <c r="I18" i="4"/>
  <c r="I19" i="4"/>
  <c r="I20" i="4"/>
  <c r="I21" i="4"/>
  <c r="I22" i="4"/>
  <c r="I23" i="4"/>
  <c r="I24" i="4"/>
  <c r="I25" i="4"/>
  <c r="C28" i="4"/>
  <c r="O27" i="4"/>
  <c r="H27" i="4"/>
  <c r="J27" i="4" s="1"/>
  <c r="K27" i="4" s="1"/>
  <c r="L27" i="4" s="1"/>
  <c r="N27" i="4" s="1"/>
  <c r="O16" i="4"/>
  <c r="H16" i="4"/>
  <c r="J16" i="4" s="1"/>
  <c r="K16" i="4" s="1"/>
  <c r="L16" i="4" s="1"/>
  <c r="N16" i="4" s="1"/>
  <c r="C48" i="12" l="1"/>
  <c r="C45" i="12"/>
  <c r="M27" i="4"/>
  <c r="M16" i="4"/>
  <c r="I27" i="4"/>
  <c r="I16" i="4"/>
  <c r="C47" i="12" l="1"/>
  <c r="C11" i="4"/>
  <c r="K28" i="4" l="1"/>
  <c r="L28" i="4" s="1"/>
  <c r="O15" i="10" l="1"/>
  <c r="O28" i="4" l="1"/>
  <c r="N28" i="4"/>
  <c r="C42" i="4" l="1"/>
  <c r="N33" i="4"/>
  <c r="C128" i="4" l="1"/>
  <c r="B97" i="4" l="1"/>
  <c r="B98" i="4" s="1"/>
  <c r="C41" i="4" l="1"/>
  <c r="C38" i="4"/>
  <c r="C44" i="4" s="1"/>
  <c r="C33" i="4" l="1"/>
  <c r="C45" i="4" l="1"/>
  <c r="C46" i="4" l="1"/>
  <c r="C47" i="4"/>
  <c r="M28" i="4" l="1"/>
  <c r="M28" i="12"/>
  <c r="M28" i="14"/>
  <c r="M28" i="11"/>
</calcChain>
</file>

<file path=xl/sharedStrings.xml><?xml version="1.0" encoding="utf-8"?>
<sst xmlns="http://schemas.openxmlformats.org/spreadsheetml/2006/main" count="259" uniqueCount="55">
  <si>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</si>
  <si>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</si>
  <si>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</si>
  <si>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</si>
  <si>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</si>
  <si>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</si>
  <si>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</si>
  <si>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</si>
  <si>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</si>
  <si>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</si>
  <si>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</si>
  <si>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</si>
  <si>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</si>
  <si>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</si>
  <si>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</si>
  <si>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</si>
  <si>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</si>
  <si>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</si>
  <si>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</si>
  <si>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</si>
  <si>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</si>
  <si>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</si>
  <si>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</si>
  <si>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</si>
  <si>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</si>
  <si>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</si>
  <si>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</si>
  <si>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</si>
  <si>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</si>
  <si>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</si>
  <si>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</si>
  <si>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</si>
  <si>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</si>
  <si>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Total BUA</t>
  </si>
  <si>
    <t xml:space="preserve"> </t>
  </si>
  <si>
    <t>Per Sq.M</t>
  </si>
  <si>
    <t>(Sq. M)</t>
  </si>
  <si>
    <t xml:space="preserve">Total Land Area </t>
  </si>
  <si>
    <t>land area -</t>
  </si>
  <si>
    <t>Residential Land and Building No. Basement Floor, Plot No. E3, MIDC Gokul Shirgaon, District - KOlhapur, Kolhapur, State - Maharashtra, India</t>
  </si>
  <si>
    <t>Ground Floor + Fisrt (Office)</t>
  </si>
  <si>
    <t>Store , President Cabin, Lunch Area</t>
  </si>
  <si>
    <t>Machine Shop (D &amp; E)</t>
  </si>
  <si>
    <t>Foundary Shed (A)</t>
  </si>
  <si>
    <t>Foundary Shed (B)</t>
  </si>
  <si>
    <t>Fetting Sho ( C )</t>
  </si>
  <si>
    <t>Store</t>
  </si>
  <si>
    <t>Toilet</t>
  </si>
  <si>
    <t>Meter Room</t>
  </si>
  <si>
    <t>Watchman Cabin</t>
  </si>
  <si>
    <t>Compound Wall (R Sq.M)</t>
  </si>
  <si>
    <t>per Sq.Ft</t>
  </si>
  <si>
    <t>Structure Value (as per Previous report)</t>
  </si>
  <si>
    <t xml:space="preserve"> Plot No. E3</t>
  </si>
  <si>
    <t>Fetting Shop ( C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</si>
</sst>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2" fontId="1" fillId="0" borderId="0" xfId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9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165" fontId="7" fillId="0" borderId="1" xfId="1" applyNumberFormat="1" applyFont="1" applyBorder="1" applyAlignment="1">
      <alignment vertical="top"/>
    </xf>
    <xf numFmtId="165" fontId="7" fillId="0" borderId="1" xfId="1" applyNumberFormat="1" applyFont="1" applyBorder="1"/>
    <xf numFmtId="165" fontId="10" fillId="0" borderId="1" xfId="1" applyNumberFormat="1" applyFont="1" applyBorder="1"/>
    <xf numFmtId="165" fontId="1" fillId="0" borderId="0" xfId="1" applyNumberFormat="1" applyFont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2" borderId="2" xfId="1" applyFont="1" applyFill="1" applyBorder="1" applyAlignment="1">
      <alignment horizontal="center" vertical="top"/>
    </xf>
    <xf numFmtId="43" fontId="6" fillId="2" borderId="4" xfId="1" applyFont="1" applyFill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580126</xdr:colOff>
      <xdr:row>30</xdr:row>
      <xdr:rowOff>85724</xdr:rowOff>
    </xdr:from>
    <xdr:to>
      <xdr:col>11</xdr:col>
      <xdr:colOff>153615</xdr:colOff>
      <xdr:row>52</xdr:row>
      <xdr:rowOff>105733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A439-B5F4-43DB-8A50-0967ABB0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6776" y="7324724"/>
          <a:ext cx="5869514" cy="46301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76199</xdr:colOff>
      <xdr:row>0</xdr:row>
      <xdr:rowOff>114299</xdr:rowOff>
    </xdr:from>
    <xdr:to>
      <xdr:col>12</xdr:col>
      <xdr:colOff>200024</xdr:colOff>
      <xdr:row>12</xdr:row>
      <xdr:rowOff>180361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87F087-F6B5-4AF8-A933-F1958A282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4" y="114299"/>
          <a:ext cx="4276725" cy="28568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390524</xdr:colOff>
      <xdr:row>0</xdr:row>
      <xdr:rowOff>111091</xdr:rowOff>
    </xdr:from>
    <xdr:to>
      <xdr:col>16</xdr:col>
      <xdr:colOff>1162049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E39809-0B6F-43C3-A6EA-F2C15480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6649" y="111091"/>
          <a:ext cx="5534025" cy="285118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76200</xdr:colOff>
      <xdr:row>36</xdr:row>
      <xdr:rowOff>180975</xdr:rowOff>
    </xdr:from>
    <xdr:to>
      <xdr:col>17</xdr:col>
      <xdr:colOff>58128</xdr:colOff>
      <xdr:row>51</xdr:row>
      <xdr:rowOff>67097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6DDF52-6D57-45B4-B7B2-EBE98278A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6791325"/>
          <a:ext cx="7011378" cy="3029373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30</xdr:row>
      <xdr:rowOff>47625</xdr:rowOff>
    </xdr:from>
    <xdr:to>
      <xdr:col>17</xdr:col>
      <xdr:colOff>229573</xdr:colOff>
      <xdr:row>37</xdr:row>
      <xdr:rowOff>28776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6C1C82-8230-4EA6-8348-37CCA59A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58425" y="5400675"/>
          <a:ext cx="6973273" cy="1448002"/>
        </a:xfrm>
        <a:prstGeom prst="rect">
          <a:avLst/>
        </a:prstGeom>
      </xdr:spPr>
    </xdr:pic>
    <xdr:clientData/>
  </xdr:twoCellAnchor>
  <xdr:twoCellAnchor editAs="oneCell">
    <xdr:from>
      <xdr:col>15</xdr:col>
      <xdr:colOff>361949</xdr:colOff>
      <xdr:row>12</xdr:row>
      <xdr:rowOff>361950</xdr:rowOff>
    </xdr:from>
    <xdr:to>
      <xdr:col>19</xdr:col>
      <xdr:colOff>1000124</xdr:colOff>
      <xdr:row>34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B7772F-6DED-4E74-B9A9-291560FB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97074" y="3152775"/>
          <a:ext cx="5972175" cy="49625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0</xdr:colOff>
      <xdr:row>53</xdr:row>
      <xdr:rowOff>37845</xdr:rowOff>
    </xdr:from>
    <xdr:to>
      <xdr:col>11</xdr:col>
      <xdr:colOff>161925</xdr:colOff>
      <xdr:row>63</xdr:row>
      <xdr:rowOff>162312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B4FA3B5-361E-4A40-8CE1-6176AA7C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7675" y="12096495"/>
          <a:ext cx="5876925" cy="221996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580126</xdr:colOff>
      <xdr:row>30</xdr:row>
      <xdr:rowOff>85724</xdr:rowOff>
    </xdr:from>
    <xdr:to>
      <xdr:col>11</xdr:col>
      <xdr:colOff>153615</xdr:colOff>
      <xdr:row>52</xdr:row>
      <xdr:rowOff>105733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FBEBE-5391-4A32-A67A-899C90454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6776" y="7324724"/>
          <a:ext cx="5869514" cy="46301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76199</xdr:colOff>
      <xdr:row>0</xdr:row>
      <xdr:rowOff>114299</xdr:rowOff>
    </xdr:from>
    <xdr:to>
      <xdr:col>12</xdr:col>
      <xdr:colOff>200024</xdr:colOff>
      <xdr:row>12</xdr:row>
      <xdr:rowOff>180361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561DFD-E9EE-4DB5-8D2A-73148CC4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4" y="114299"/>
          <a:ext cx="4276725" cy="28568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390524</xdr:colOff>
      <xdr:row>0</xdr:row>
      <xdr:rowOff>111091</xdr:rowOff>
    </xdr:from>
    <xdr:to>
      <xdr:col>16</xdr:col>
      <xdr:colOff>1162049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2FDF37-FC09-44A4-B0B5-07978AB4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6649" y="111091"/>
          <a:ext cx="5534025" cy="285118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76200</xdr:colOff>
      <xdr:row>36</xdr:row>
      <xdr:rowOff>180975</xdr:rowOff>
    </xdr:from>
    <xdr:to>
      <xdr:col>17</xdr:col>
      <xdr:colOff>58128</xdr:colOff>
      <xdr:row>51</xdr:row>
      <xdr:rowOff>67097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AC94B3-2C46-4121-9F04-839391D63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8677275"/>
          <a:ext cx="7011378" cy="302937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30</xdr:row>
      <xdr:rowOff>47625</xdr:rowOff>
    </xdr:from>
    <xdr:to>
      <xdr:col>17</xdr:col>
      <xdr:colOff>229573</xdr:colOff>
      <xdr:row>37</xdr:row>
      <xdr:rowOff>28776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60D52E-1C9A-4F4B-8DCE-F6D40D4A4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58425" y="7286625"/>
          <a:ext cx="6973273" cy="144800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</xdr:colOff>
      <xdr:row>12</xdr:row>
      <xdr:rowOff>276225</xdr:rowOff>
    </xdr:from>
    <xdr:to>
      <xdr:col>19</xdr:col>
      <xdr:colOff>657224</xdr:colOff>
      <xdr:row>33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CF0E22-6587-466B-B430-42D876AA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54174" y="3067050"/>
          <a:ext cx="5972175" cy="49625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0</xdr:colOff>
      <xdr:row>53</xdr:row>
      <xdr:rowOff>37845</xdr:rowOff>
    </xdr:from>
    <xdr:to>
      <xdr:col>11</xdr:col>
      <xdr:colOff>161925</xdr:colOff>
      <xdr:row>63</xdr:row>
      <xdr:rowOff>162312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8051AA-9EED-4F95-BC6D-B46E4CA5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7675" y="12096495"/>
          <a:ext cx="5876925" cy="221996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580126</xdr:colOff>
      <xdr:row>30</xdr:row>
      <xdr:rowOff>85724</xdr:rowOff>
    </xdr:from>
    <xdr:to>
      <xdr:col>11</xdr:col>
      <xdr:colOff>153615</xdr:colOff>
      <xdr:row>52</xdr:row>
      <xdr:rowOff>105733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4812EF-63AB-4CA2-8930-DA523E2D0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6776" y="7324724"/>
          <a:ext cx="5869514" cy="46301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76199</xdr:colOff>
      <xdr:row>0</xdr:row>
      <xdr:rowOff>114299</xdr:rowOff>
    </xdr:from>
    <xdr:to>
      <xdr:col>12</xdr:col>
      <xdr:colOff>200024</xdr:colOff>
      <xdr:row>12</xdr:row>
      <xdr:rowOff>180361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5B22EE-C043-4835-BB4B-2C079F637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4" y="114299"/>
          <a:ext cx="4276725" cy="28568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390524</xdr:colOff>
      <xdr:row>0</xdr:row>
      <xdr:rowOff>111091</xdr:rowOff>
    </xdr:from>
    <xdr:to>
      <xdr:col>16</xdr:col>
      <xdr:colOff>1162049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6DE487-0E9D-4E3E-A7FE-FF290485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6649" y="111091"/>
          <a:ext cx="5534025" cy="285118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76200</xdr:colOff>
      <xdr:row>36</xdr:row>
      <xdr:rowOff>180975</xdr:rowOff>
    </xdr:from>
    <xdr:to>
      <xdr:col>17</xdr:col>
      <xdr:colOff>58128</xdr:colOff>
      <xdr:row>51</xdr:row>
      <xdr:rowOff>67097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A28726-8BFD-4B51-83AC-BD6F9656D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8677275"/>
          <a:ext cx="7011378" cy="302937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30</xdr:row>
      <xdr:rowOff>47625</xdr:rowOff>
    </xdr:from>
    <xdr:to>
      <xdr:col>17</xdr:col>
      <xdr:colOff>229573</xdr:colOff>
      <xdr:row>37</xdr:row>
      <xdr:rowOff>28776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20B25D-06BD-49A5-A34D-D473EAA8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58425" y="7286625"/>
          <a:ext cx="6973273" cy="144800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</xdr:colOff>
      <xdr:row>12</xdr:row>
      <xdr:rowOff>276225</xdr:rowOff>
    </xdr:from>
    <xdr:to>
      <xdr:col>19</xdr:col>
      <xdr:colOff>657224</xdr:colOff>
      <xdr:row>33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4FC82F-0B6A-4A64-B374-9A9D3F81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54174" y="3067050"/>
          <a:ext cx="5972175" cy="49625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0</xdr:colOff>
      <xdr:row>53</xdr:row>
      <xdr:rowOff>37845</xdr:rowOff>
    </xdr:from>
    <xdr:to>
      <xdr:col>11</xdr:col>
      <xdr:colOff>161925</xdr:colOff>
      <xdr:row>63</xdr:row>
      <xdr:rowOff>162312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8A087D-B7E8-44A4-BE56-C9EF8DA00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7675" y="12096495"/>
          <a:ext cx="5876925" cy="221996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580126</xdr:colOff>
      <xdr:row>30</xdr:row>
      <xdr:rowOff>85724</xdr:rowOff>
    </xdr:from>
    <xdr:to>
      <xdr:col>11</xdr:col>
      <xdr:colOff>153615</xdr:colOff>
      <xdr:row>52</xdr:row>
      <xdr:rowOff>105733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674BB-2A39-4563-85C2-D4019CF6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6776" y="7324724"/>
          <a:ext cx="5869514" cy="46301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76199</xdr:colOff>
      <xdr:row>0</xdr:row>
      <xdr:rowOff>114299</xdr:rowOff>
    </xdr:from>
    <xdr:to>
      <xdr:col>12</xdr:col>
      <xdr:colOff>200024</xdr:colOff>
      <xdr:row>12</xdr:row>
      <xdr:rowOff>180361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E0708D-A5E3-4F85-A272-E824F7EB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4" y="114299"/>
          <a:ext cx="4276725" cy="28568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390524</xdr:colOff>
      <xdr:row>0</xdr:row>
      <xdr:rowOff>111091</xdr:rowOff>
    </xdr:from>
    <xdr:to>
      <xdr:col>16</xdr:col>
      <xdr:colOff>1162049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D3F014-4F3A-4235-8175-71F39625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6649" y="111091"/>
          <a:ext cx="5534025" cy="285118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76200</xdr:colOff>
      <xdr:row>36</xdr:row>
      <xdr:rowOff>180975</xdr:rowOff>
    </xdr:from>
    <xdr:to>
      <xdr:col>17</xdr:col>
      <xdr:colOff>58128</xdr:colOff>
      <xdr:row>51</xdr:row>
      <xdr:rowOff>67097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23C165-5F05-46E7-9F6C-A5F61C325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8677275"/>
          <a:ext cx="7011378" cy="302937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30</xdr:row>
      <xdr:rowOff>47625</xdr:rowOff>
    </xdr:from>
    <xdr:to>
      <xdr:col>17</xdr:col>
      <xdr:colOff>229573</xdr:colOff>
      <xdr:row>37</xdr:row>
      <xdr:rowOff>28776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479FF0-9A2A-4D39-9B3D-7385FF063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58425" y="7286625"/>
          <a:ext cx="6973273" cy="144800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</xdr:colOff>
      <xdr:row>12</xdr:row>
      <xdr:rowOff>276225</xdr:rowOff>
    </xdr:from>
    <xdr:to>
      <xdr:col>19</xdr:col>
      <xdr:colOff>657224</xdr:colOff>
      <xdr:row>33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D881A7-6B79-478B-B385-A9702A58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54174" y="3067050"/>
          <a:ext cx="5972175" cy="49625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0</xdr:colOff>
      <xdr:row>53</xdr:row>
      <xdr:rowOff>37845</xdr:rowOff>
    </xdr:from>
    <xdr:to>
      <xdr:col>11</xdr:col>
      <xdr:colOff>161925</xdr:colOff>
      <xdr:row>63</xdr:row>
      <xdr:rowOff>162312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261DA0-DED3-4D21-81F0-83CC7389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7675" y="12096495"/>
          <a:ext cx="5876925" cy="221996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28575</xdr:rowOff>
    </xdr:from>
    <xdr:to>
      <xdr:col>11</xdr:col>
      <xdr:colOff>581995</xdr:colOff>
      <xdr:row>38</xdr:row>
      <xdr:rowOff>20059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354E58-4910-41F4-84DC-632316CD0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8575"/>
          <a:ext cx="6954220" cy="723048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25</xdr:col>
      <xdr:colOff>315305</xdr:colOff>
      <xdr:row>40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7A439B-44EB-4117-9BA7-44B167FE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7020905" cy="7697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658253</xdr:colOff>
      <xdr:row>37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B296E-14E5-4DE6-B875-4CD9136C0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63853" cy="7182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85"/>
  <sheetViews>
    <sheetView zoomScaleNormal="100" workbookViewId="0">
      <pane xSplit="3" ySplit="14" topLeftCell="D42" activePane="bottomRight" state="frozen"/>
      <selection pane="topRight" activeCell="C1" sqref="C1"/>
      <selection pane="bottomLeft" activeCell="A7" sqref="A7"/>
      <selection pane="bottomRight" activeCell="F13" sqref="F13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96"/>
      <c r="C3" s="96"/>
      <c r="D3" s="96"/>
      <c r="E3" s="96"/>
      <c r="F3" s="96"/>
      <c r="G3" s="96"/>
    </row>
    <row r="4" spans="2:16" ht="29.25" customHeight="1" x14ac:dyDescent="0.3">
      <c r="B4" s="98" t="s">
        <v>39</v>
      </c>
      <c r="C4" s="98"/>
      <c r="D4" s="98"/>
      <c r="E4" s="98"/>
      <c r="F4" s="98"/>
      <c r="G4" s="98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8158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52"/>
      <c r="H10" s="1"/>
      <c r="K10" s="4"/>
      <c r="M10" s="4"/>
      <c r="N10" s="1"/>
      <c r="O10" s="1"/>
    </row>
    <row r="11" spans="2:16" x14ac:dyDescent="0.3">
      <c r="B11" s="39" t="s">
        <v>16</v>
      </c>
      <c r="C11" s="72">
        <f>C9*C10</f>
        <v>69343000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97" t="s">
        <v>52</v>
      </c>
      <c r="C13" s="97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584.86</v>
      </c>
      <c r="D16" s="23">
        <v>1997</v>
      </c>
      <c r="E16" s="23">
        <v>2024</v>
      </c>
      <c r="F16" s="44">
        <v>50</v>
      </c>
      <c r="G16" s="44">
        <v>12000</v>
      </c>
      <c r="H16" s="44">
        <f t="shared" ref="H16" si="0">E16-D16</f>
        <v>27</v>
      </c>
      <c r="I16" s="44">
        <f t="shared" ref="I16" si="1">F16-H16</f>
        <v>23</v>
      </c>
      <c r="J16" s="44">
        <f t="shared" ref="J16" si="2">IF(H16&gt;=5,90*H16/F16,0)</f>
        <v>48.6</v>
      </c>
      <c r="K16" s="44">
        <f t="shared" ref="K16" si="3">G16/100*J16</f>
        <v>5832</v>
      </c>
      <c r="L16" s="44">
        <f t="shared" ref="L16" si="4">ROUND((G16-K16),0)</f>
        <v>6168</v>
      </c>
      <c r="M16" s="44">
        <f t="shared" ref="M16" si="5">O16-N16</f>
        <v>3410904</v>
      </c>
      <c r="N16" s="44">
        <f t="shared" ref="N16" si="6">ROUND(L16*C16,0)</f>
        <v>3607416</v>
      </c>
      <c r="O16" s="44">
        <f t="shared" ref="O16" si="7">ROUND(G16*C16,0)</f>
        <v>7018320</v>
      </c>
    </row>
    <row r="17" spans="2:16" s="22" customFormat="1" x14ac:dyDescent="0.3">
      <c r="B17" s="45" t="s">
        <v>41</v>
      </c>
      <c r="C17" s="86">
        <v>338.78</v>
      </c>
      <c r="D17" s="23">
        <v>1997</v>
      </c>
      <c r="E17" s="23">
        <v>2024</v>
      </c>
      <c r="F17" s="44">
        <v>50</v>
      </c>
      <c r="G17" s="44">
        <v>12000</v>
      </c>
      <c r="H17" s="44">
        <f t="shared" ref="H17:H25" si="8">E17-D17</f>
        <v>27</v>
      </c>
      <c r="I17" s="44">
        <f t="shared" ref="I17:I25" si="9">F17-H17</f>
        <v>23</v>
      </c>
      <c r="J17" s="44">
        <f t="shared" ref="J17:J26" si="10">IF(H17&gt;=5,90*H17/F17,0)</f>
        <v>48.6</v>
      </c>
      <c r="K17" s="44">
        <f t="shared" ref="K17:K26" si="11">G17/100*J17</f>
        <v>5832</v>
      </c>
      <c r="L17" s="44">
        <f t="shared" ref="L17:L26" si="12">ROUND((G17-K17),0)</f>
        <v>6168</v>
      </c>
      <c r="M17" s="44">
        <f t="shared" ref="M17:M26" si="13">O17-N17</f>
        <v>1975765</v>
      </c>
      <c r="N17" s="44">
        <f t="shared" ref="N17:N26" si="14">ROUND(L17*C17,0)</f>
        <v>2089595</v>
      </c>
      <c r="O17" s="44">
        <f t="shared" ref="O17:O26" si="15">ROUND(G17*C17,0)</f>
        <v>4065360</v>
      </c>
    </row>
    <row r="18" spans="2:16" s="22" customFormat="1" x14ac:dyDescent="0.3">
      <c r="B18" s="45" t="s">
        <v>42</v>
      </c>
      <c r="C18" s="86">
        <v>783.27</v>
      </c>
      <c r="D18" s="23">
        <v>1997</v>
      </c>
      <c r="E18" s="23">
        <v>2024</v>
      </c>
      <c r="F18" s="44">
        <v>50</v>
      </c>
      <c r="G18" s="44">
        <v>10000</v>
      </c>
      <c r="H18" s="44">
        <f t="shared" si="8"/>
        <v>27</v>
      </c>
      <c r="I18" s="44">
        <f t="shared" si="9"/>
        <v>23</v>
      </c>
      <c r="J18" s="44">
        <f t="shared" si="10"/>
        <v>48.6</v>
      </c>
      <c r="K18" s="44">
        <f t="shared" si="11"/>
        <v>4860</v>
      </c>
      <c r="L18" s="44">
        <f t="shared" si="12"/>
        <v>5140</v>
      </c>
      <c r="M18" s="44">
        <f t="shared" si="13"/>
        <v>3806692</v>
      </c>
      <c r="N18" s="44">
        <f t="shared" si="14"/>
        <v>4026008</v>
      </c>
      <c r="O18" s="44">
        <f t="shared" si="15"/>
        <v>7832700</v>
      </c>
    </row>
    <row r="19" spans="2:16" s="22" customFormat="1" x14ac:dyDescent="0.3">
      <c r="B19" s="45" t="s">
        <v>43</v>
      </c>
      <c r="C19" s="86">
        <v>964.35</v>
      </c>
      <c r="D19" s="23">
        <v>1997</v>
      </c>
      <c r="E19" s="23">
        <v>2024</v>
      </c>
      <c r="F19" s="44">
        <v>50</v>
      </c>
      <c r="G19" s="44">
        <v>12000</v>
      </c>
      <c r="H19" s="44">
        <f t="shared" si="8"/>
        <v>27</v>
      </c>
      <c r="I19" s="44">
        <f t="shared" si="9"/>
        <v>23</v>
      </c>
      <c r="J19" s="44">
        <f t="shared" si="10"/>
        <v>48.6</v>
      </c>
      <c r="K19" s="44">
        <f t="shared" si="11"/>
        <v>5832</v>
      </c>
      <c r="L19" s="44">
        <f t="shared" si="12"/>
        <v>6168</v>
      </c>
      <c r="M19" s="44">
        <f t="shared" si="13"/>
        <v>5624089</v>
      </c>
      <c r="N19" s="44">
        <f t="shared" si="14"/>
        <v>5948111</v>
      </c>
      <c r="O19" s="44">
        <f t="shared" si="15"/>
        <v>11572200</v>
      </c>
    </row>
    <row r="20" spans="2:16" s="22" customFormat="1" x14ac:dyDescent="0.3">
      <c r="B20" s="45" t="s">
        <v>44</v>
      </c>
      <c r="C20" s="86">
        <v>994.19</v>
      </c>
      <c r="D20" s="23">
        <v>1997</v>
      </c>
      <c r="E20" s="23">
        <v>2024</v>
      </c>
      <c r="F20" s="44">
        <v>50</v>
      </c>
      <c r="G20" s="44">
        <v>12000</v>
      </c>
      <c r="H20" s="44">
        <f t="shared" si="8"/>
        <v>27</v>
      </c>
      <c r="I20" s="44">
        <f t="shared" si="9"/>
        <v>23</v>
      </c>
      <c r="J20" s="44">
        <f t="shared" si="10"/>
        <v>48.6</v>
      </c>
      <c r="K20" s="44">
        <f t="shared" si="11"/>
        <v>5832</v>
      </c>
      <c r="L20" s="44">
        <f t="shared" si="12"/>
        <v>6168</v>
      </c>
      <c r="M20" s="44">
        <f t="shared" si="13"/>
        <v>5798116</v>
      </c>
      <c r="N20" s="44">
        <f t="shared" si="14"/>
        <v>6132164</v>
      </c>
      <c r="O20" s="44">
        <f t="shared" si="15"/>
        <v>11930280</v>
      </c>
    </row>
    <row r="21" spans="2:16" s="22" customFormat="1" x14ac:dyDescent="0.3">
      <c r="B21" s="45" t="s">
        <v>45</v>
      </c>
      <c r="C21" s="86">
        <v>275.85000000000002</v>
      </c>
      <c r="D21" s="23">
        <v>1997</v>
      </c>
      <c r="E21" s="23">
        <v>2024</v>
      </c>
      <c r="F21" s="44">
        <v>50</v>
      </c>
      <c r="G21" s="44">
        <v>5000</v>
      </c>
      <c r="H21" s="44">
        <f t="shared" si="8"/>
        <v>27</v>
      </c>
      <c r="I21" s="44">
        <f t="shared" si="9"/>
        <v>23</v>
      </c>
      <c r="J21" s="44">
        <f t="shared" si="10"/>
        <v>48.6</v>
      </c>
      <c r="K21" s="44">
        <f t="shared" si="11"/>
        <v>2430</v>
      </c>
      <c r="L21" s="44">
        <f t="shared" si="12"/>
        <v>2570</v>
      </c>
      <c r="M21" s="44">
        <f t="shared" si="13"/>
        <v>670315</v>
      </c>
      <c r="N21" s="44">
        <f t="shared" si="14"/>
        <v>708935</v>
      </c>
      <c r="O21" s="44">
        <f t="shared" si="15"/>
        <v>1379250</v>
      </c>
    </row>
    <row r="22" spans="2:16" s="22" customFormat="1" x14ac:dyDescent="0.3">
      <c r="B22" s="45" t="s">
        <v>46</v>
      </c>
      <c r="C22" s="86">
        <v>53.88</v>
      </c>
      <c r="D22" s="23">
        <v>1997</v>
      </c>
      <c r="E22" s="23">
        <v>2024</v>
      </c>
      <c r="F22" s="44">
        <v>50</v>
      </c>
      <c r="G22" s="44">
        <v>5000</v>
      </c>
      <c r="H22" s="44">
        <f t="shared" si="8"/>
        <v>27</v>
      </c>
      <c r="I22" s="44">
        <f t="shared" si="9"/>
        <v>23</v>
      </c>
      <c r="J22" s="44">
        <f t="shared" si="10"/>
        <v>48.6</v>
      </c>
      <c r="K22" s="44">
        <f t="shared" si="11"/>
        <v>2430</v>
      </c>
      <c r="L22" s="44">
        <f t="shared" si="12"/>
        <v>2570</v>
      </c>
      <c r="M22" s="44">
        <f t="shared" si="13"/>
        <v>130928</v>
      </c>
      <c r="N22" s="44">
        <f t="shared" si="14"/>
        <v>138472</v>
      </c>
      <c r="O22" s="44">
        <f t="shared" si="15"/>
        <v>269400</v>
      </c>
    </row>
    <row r="23" spans="2:16" s="22" customFormat="1" x14ac:dyDescent="0.3">
      <c r="B23" s="45" t="s">
        <v>47</v>
      </c>
      <c r="C23" s="86">
        <v>29.45</v>
      </c>
      <c r="D23" s="23">
        <v>1997</v>
      </c>
      <c r="E23" s="23">
        <v>2024</v>
      </c>
      <c r="F23" s="44">
        <v>50</v>
      </c>
      <c r="G23" s="44">
        <v>10000</v>
      </c>
      <c r="H23" s="44">
        <f t="shared" si="8"/>
        <v>27</v>
      </c>
      <c r="I23" s="44">
        <f t="shared" si="9"/>
        <v>23</v>
      </c>
      <c r="J23" s="44">
        <f t="shared" si="10"/>
        <v>48.6</v>
      </c>
      <c r="K23" s="44">
        <f t="shared" si="11"/>
        <v>4860</v>
      </c>
      <c r="L23" s="44">
        <f t="shared" si="12"/>
        <v>5140</v>
      </c>
      <c r="M23" s="44">
        <f t="shared" si="13"/>
        <v>143127</v>
      </c>
      <c r="N23" s="44">
        <f t="shared" si="14"/>
        <v>151373</v>
      </c>
      <c r="O23" s="44">
        <f t="shared" si="15"/>
        <v>294500</v>
      </c>
    </row>
    <row r="24" spans="2:16" s="22" customFormat="1" x14ac:dyDescent="0.3">
      <c r="B24" s="45" t="s">
        <v>48</v>
      </c>
      <c r="C24" s="86">
        <v>12.6</v>
      </c>
      <c r="D24" s="23">
        <v>1997</v>
      </c>
      <c r="E24" s="23">
        <v>2024</v>
      </c>
      <c r="F24" s="44">
        <v>50</v>
      </c>
      <c r="G24" s="44">
        <v>5000</v>
      </c>
      <c r="H24" s="44">
        <f t="shared" si="8"/>
        <v>27</v>
      </c>
      <c r="I24" s="44">
        <f t="shared" si="9"/>
        <v>23</v>
      </c>
      <c r="J24" s="44">
        <f t="shared" si="10"/>
        <v>48.6</v>
      </c>
      <c r="K24" s="44">
        <f t="shared" si="11"/>
        <v>2430</v>
      </c>
      <c r="L24" s="44">
        <f t="shared" si="12"/>
        <v>2570</v>
      </c>
      <c r="M24" s="44">
        <f t="shared" si="13"/>
        <v>30618</v>
      </c>
      <c r="N24" s="44">
        <f t="shared" si="14"/>
        <v>32382</v>
      </c>
      <c r="O24" s="44">
        <f t="shared" si="15"/>
        <v>63000</v>
      </c>
    </row>
    <row r="25" spans="2:16" s="22" customFormat="1" x14ac:dyDescent="0.3">
      <c r="B25" s="45" t="s">
        <v>49</v>
      </c>
      <c r="C25" s="86">
        <v>5.58</v>
      </c>
      <c r="D25" s="23">
        <v>1997</v>
      </c>
      <c r="E25" s="23">
        <v>2024</v>
      </c>
      <c r="F25" s="44">
        <v>50</v>
      </c>
      <c r="G25" s="44">
        <v>5000</v>
      </c>
      <c r="H25" s="44">
        <f t="shared" si="8"/>
        <v>27</v>
      </c>
      <c r="I25" s="44">
        <f t="shared" si="9"/>
        <v>23</v>
      </c>
      <c r="J25" s="44">
        <f t="shared" si="10"/>
        <v>48.6</v>
      </c>
      <c r="K25" s="44">
        <f t="shared" si="11"/>
        <v>2430</v>
      </c>
      <c r="L25" s="44">
        <f t="shared" si="12"/>
        <v>2570</v>
      </c>
      <c r="M25" s="44">
        <f t="shared" si="13"/>
        <v>13559</v>
      </c>
      <c r="N25" s="44">
        <f t="shared" si="14"/>
        <v>14341</v>
      </c>
      <c r="O25" s="44">
        <f t="shared" si="15"/>
        <v>27900</v>
      </c>
    </row>
    <row r="26" spans="2:16" s="22" customFormat="1" x14ac:dyDescent="0.3">
      <c r="B26" s="45" t="s">
        <v>50</v>
      </c>
      <c r="C26" s="86"/>
      <c r="D26" s="23"/>
      <c r="E26" s="23"/>
      <c r="F26" s="44"/>
      <c r="G26" s="44"/>
      <c r="H26" s="44"/>
      <c r="I26" s="44"/>
      <c r="J26" s="44">
        <f t="shared" si="10"/>
        <v>0</v>
      </c>
      <c r="K26" s="44">
        <f t="shared" si="11"/>
        <v>0</v>
      </c>
      <c r="L26" s="44">
        <f t="shared" si="12"/>
        <v>0</v>
      </c>
      <c r="M26" s="44">
        <f t="shared" si="13"/>
        <v>0</v>
      </c>
      <c r="N26" s="44">
        <f t="shared" si="14"/>
        <v>0</v>
      </c>
      <c r="O26" s="44">
        <f t="shared" si="15"/>
        <v>0</v>
      </c>
    </row>
    <row r="27" spans="2:16" s="22" customFormat="1" x14ac:dyDescent="0.3">
      <c r="B27" s="45"/>
      <c r="C27" s="86"/>
      <c r="D27" s="23"/>
      <c r="E27" s="23"/>
      <c r="F27" s="44"/>
      <c r="G27" s="44"/>
      <c r="H27" s="44">
        <f t="shared" ref="H27" si="16">E27-D27</f>
        <v>0</v>
      </c>
      <c r="I27" s="44">
        <f t="shared" ref="I27" si="17">F27-H27</f>
        <v>0</v>
      </c>
      <c r="J27" s="44">
        <f t="shared" ref="J27" si="18">IF(H27&gt;=5,90*H27/F27,0)</f>
        <v>0</v>
      </c>
      <c r="K27" s="44">
        <f t="shared" ref="K27" si="19">G27/100*J27</f>
        <v>0</v>
      </c>
      <c r="L27" s="44">
        <f t="shared" ref="L27" si="20">ROUND((G27-K27),0)</f>
        <v>0</v>
      </c>
      <c r="M27" s="44">
        <f t="shared" ref="M27" si="21">O27-N27</f>
        <v>0</v>
      </c>
      <c r="N27" s="44">
        <f t="shared" ref="N27" si="22">ROUND(L27*C27,0)</f>
        <v>0</v>
      </c>
      <c r="O27" s="44">
        <f t="shared" ref="O27" si="23">ROUND(G27*C27,0)</f>
        <v>0</v>
      </c>
    </row>
    <row r="28" spans="2:16" s="26" customFormat="1" x14ac:dyDescent="0.3">
      <c r="B28" s="25" t="s">
        <v>33</v>
      </c>
      <c r="C28" s="57">
        <f>SUM(C16:C27)</f>
        <v>4042.8099999999995</v>
      </c>
      <c r="D28" s="45"/>
      <c r="E28" s="23"/>
      <c r="F28" s="44"/>
      <c r="G28" s="44"/>
      <c r="H28" s="44"/>
      <c r="I28" s="44"/>
      <c r="J28" s="44"/>
      <c r="K28" s="44">
        <f t="shared" ref="K28" si="24">G28/100*J28</f>
        <v>0</v>
      </c>
      <c r="L28" s="44">
        <f t="shared" ref="L28" si="25">ROUND((G28-K28),0)</f>
        <v>0</v>
      </c>
      <c r="M28" s="84">
        <f ca="1">SUM(M27:M28)</f>
        <v>11913106</v>
      </c>
      <c r="N28" s="84">
        <f>SUM(N16:N27)</f>
        <v>22848797</v>
      </c>
      <c r="O28" s="84">
        <f>SUM(O16:O27)</f>
        <v>44452910</v>
      </c>
      <c r="P28" s="76"/>
    </row>
    <row r="29" spans="2:16" s="26" customFormat="1" ht="18.75" customHeight="1" x14ac:dyDescent="0.3">
      <c r="B29" s="47"/>
      <c r="C29" s="58"/>
      <c r="D29" s="48"/>
      <c r="E29" s="48"/>
      <c r="F29" s="49"/>
      <c r="G29" s="50"/>
      <c r="H29" s="51"/>
      <c r="I29" s="51"/>
      <c r="J29" s="51"/>
      <c r="K29" s="51"/>
      <c r="L29" s="51"/>
    </row>
    <row r="30" spans="2:16" x14ac:dyDescent="0.3">
      <c r="B30" s="91" t="s">
        <v>23</v>
      </c>
      <c r="C30" s="91"/>
      <c r="D30" s="24"/>
      <c r="E30" s="24"/>
      <c r="G30" s="71"/>
      <c r="H30" s="29"/>
      <c r="I30" s="1"/>
      <c r="J30" s="1"/>
      <c r="L30" s="1"/>
      <c r="N30" s="1"/>
      <c r="O30" s="1"/>
      <c r="P30" s="19"/>
    </row>
    <row r="31" spans="2:16" x14ac:dyDescent="0.3">
      <c r="B31" s="12" t="s">
        <v>24</v>
      </c>
      <c r="C31" s="72"/>
      <c r="D31" s="24"/>
      <c r="E31" s="4"/>
      <c r="F31" s="71"/>
      <c r="H31" s="85"/>
      <c r="I31" s="1"/>
      <c r="J31" s="1"/>
      <c r="L31" s="1"/>
      <c r="M31" s="79"/>
      <c r="N31" s="79"/>
      <c r="O31" s="1"/>
      <c r="P31" s="19"/>
    </row>
    <row r="32" spans="2:16" x14ac:dyDescent="0.3">
      <c r="B32" s="13" t="s">
        <v>5</v>
      </c>
      <c r="C32" s="73"/>
      <c r="D32" s="24"/>
      <c r="E32" s="24"/>
      <c r="G32" s="29"/>
      <c r="H32" s="29"/>
      <c r="I32" s="26"/>
      <c r="J32" s="26"/>
      <c r="K32" s="26"/>
      <c r="L32" s="26"/>
      <c r="N32" s="78"/>
      <c r="O32" s="1"/>
    </row>
    <row r="33" spans="2:16" x14ac:dyDescent="0.3">
      <c r="B33" s="13" t="s">
        <v>6</v>
      </c>
      <c r="C33" s="72">
        <f>ROUND((C31*C32),0)</f>
        <v>0</v>
      </c>
      <c r="D33" s="24"/>
      <c r="E33" s="82"/>
      <c r="G33" s="29"/>
      <c r="H33" s="29"/>
      <c r="I33" s="1"/>
      <c r="J33" s="1"/>
      <c r="L33" s="19"/>
      <c r="M33" s="19"/>
      <c r="N33" s="19">
        <f>N28*0.85</f>
        <v>19421477.449999999</v>
      </c>
      <c r="O33" s="1"/>
    </row>
    <row r="34" spans="2:16" x14ac:dyDescent="0.3">
      <c r="B34" s="27"/>
      <c r="C34" s="59"/>
      <c r="D34" s="24"/>
      <c r="E34" s="46"/>
      <c r="G34" s="80"/>
      <c r="H34" s="80"/>
      <c r="I34" s="1"/>
      <c r="J34" s="26"/>
      <c r="K34" s="26"/>
      <c r="L34" s="1"/>
      <c r="N34" s="1"/>
      <c r="O34" s="1"/>
    </row>
    <row r="35" spans="2:16" ht="16.5" customHeight="1" x14ac:dyDescent="0.3">
      <c r="B35" s="92" t="s">
        <v>13</v>
      </c>
      <c r="C35" s="93"/>
      <c r="D35" s="24"/>
      <c r="E35" s="28"/>
      <c r="F35" s="11"/>
      <c r="G35" s="68"/>
      <c r="H35" s="67"/>
      <c r="I35" s="1"/>
      <c r="J35" s="1"/>
      <c r="L35" s="1"/>
      <c r="M35" s="77"/>
      <c r="N35" s="1"/>
      <c r="O35" s="1"/>
    </row>
    <row r="36" spans="2:16" x14ac:dyDescent="0.3">
      <c r="B36" s="12" t="s">
        <v>9</v>
      </c>
      <c r="C36" s="54">
        <f>C9-C28</f>
        <v>4115.1900000000005</v>
      </c>
      <c r="D36" s="30"/>
      <c r="E36" s="4"/>
      <c r="F36" s="11"/>
      <c r="H36" s="1"/>
      <c r="I36" s="1"/>
      <c r="J36" s="1"/>
      <c r="L36" s="1"/>
      <c r="M36" s="77"/>
      <c r="N36" s="1"/>
      <c r="O36" s="1"/>
    </row>
    <row r="37" spans="2:16" x14ac:dyDescent="0.3">
      <c r="B37" s="13" t="s">
        <v>5</v>
      </c>
      <c r="C37" s="53">
        <v>250</v>
      </c>
      <c r="D37" s="17"/>
      <c r="E37" s="4"/>
      <c r="H37" s="1"/>
      <c r="I37" s="1"/>
      <c r="J37" s="1"/>
      <c r="L37" s="1"/>
      <c r="N37" s="1"/>
      <c r="O37" s="1"/>
    </row>
    <row r="38" spans="2:16" x14ac:dyDescent="0.3">
      <c r="B38" s="13" t="s">
        <v>6</v>
      </c>
      <c r="C38" s="54">
        <f>ROUND((C36*C37),0)</f>
        <v>1028798</v>
      </c>
      <c r="D38" s="5"/>
      <c r="E38" s="4"/>
      <c r="H38" s="1"/>
      <c r="I38" s="1"/>
      <c r="J38" s="1"/>
      <c r="L38" s="1"/>
      <c r="M38" s="26"/>
      <c r="O38" s="1"/>
    </row>
    <row r="39" spans="2:16" x14ac:dyDescent="0.3">
      <c r="C39" s="60"/>
      <c r="D39" s="5"/>
      <c r="E39" s="5"/>
      <c r="G39" s="11"/>
      <c r="I39" s="7"/>
      <c r="J39" s="7"/>
      <c r="M39" s="77"/>
      <c r="N39" s="1"/>
    </row>
    <row r="40" spans="2:16" x14ac:dyDescent="0.3">
      <c r="B40" s="94" t="s">
        <v>53</v>
      </c>
      <c r="C40" s="95"/>
      <c r="D40" s="11"/>
      <c r="E40" s="4"/>
      <c r="F40" s="7"/>
      <c r="G40" s="7"/>
      <c r="H40" s="1"/>
      <c r="J40" s="11"/>
      <c r="K40" s="4"/>
      <c r="M40" s="26"/>
      <c r="O40" s="1"/>
    </row>
    <row r="41" spans="2:16" x14ac:dyDescent="0.3">
      <c r="B41" s="31" t="s">
        <v>11</v>
      </c>
      <c r="C41" s="54">
        <f>C11</f>
        <v>69343000</v>
      </c>
      <c r="D41" s="9"/>
      <c r="E41" s="9"/>
      <c r="F41" s="10"/>
      <c r="G41" s="10"/>
      <c r="H41" s="1"/>
      <c r="J41" s="8"/>
      <c r="K41" s="4"/>
      <c r="M41" s="77"/>
      <c r="N41" s="1"/>
      <c r="O41" s="1"/>
    </row>
    <row r="42" spans="2:16" x14ac:dyDescent="0.3">
      <c r="B42" s="31" t="s">
        <v>12</v>
      </c>
      <c r="C42" s="54">
        <f>N28</f>
        <v>22848797</v>
      </c>
      <c r="D42" s="9"/>
      <c r="E42" s="9"/>
      <c r="F42" s="75"/>
      <c r="J42" s="10"/>
      <c r="K42" s="4"/>
      <c r="M42" s="77"/>
      <c r="N42" s="1"/>
      <c r="P42" s="4"/>
    </row>
    <row r="43" spans="2:16" x14ac:dyDescent="0.3">
      <c r="B43" s="31" t="s">
        <v>25</v>
      </c>
      <c r="C43" s="54"/>
      <c r="D43" s="9"/>
      <c r="E43" s="9"/>
      <c r="F43" s="10"/>
      <c r="G43" s="10"/>
      <c r="J43" s="10"/>
      <c r="K43" s="4"/>
      <c r="M43" s="77"/>
      <c r="N43" s="1"/>
      <c r="O43" s="1"/>
    </row>
    <row r="44" spans="2:16" x14ac:dyDescent="0.3">
      <c r="B44" s="31" t="s">
        <v>10</v>
      </c>
      <c r="C44" s="54">
        <f>C38</f>
        <v>1028798</v>
      </c>
      <c r="D44" s="9"/>
      <c r="E44" s="9"/>
      <c r="F44" s="10"/>
      <c r="G44" s="10"/>
      <c r="H44" s="1"/>
      <c r="J44" s="10"/>
      <c r="K44" s="4"/>
      <c r="M44" s="4"/>
      <c r="N44" s="1"/>
      <c r="O44" s="1"/>
    </row>
    <row r="45" spans="2:16" x14ac:dyDescent="0.3">
      <c r="B45" s="32" t="s">
        <v>29</v>
      </c>
      <c r="C45" s="69">
        <f>C41+C42+C43+C44</f>
        <v>93220595</v>
      </c>
      <c r="D45" s="8"/>
      <c r="E45" s="4"/>
      <c r="F45" s="15"/>
      <c r="G45" s="4" t="s">
        <v>30</v>
      </c>
      <c r="J45" s="1"/>
      <c r="K45" s="4"/>
      <c r="M45" s="4"/>
      <c r="N45" s="1"/>
      <c r="O45" s="1"/>
    </row>
    <row r="46" spans="2:16" x14ac:dyDescent="0.3">
      <c r="B46" s="32" t="s">
        <v>7</v>
      </c>
      <c r="C46" s="69">
        <f>ROUND(C45*0.85,0)</f>
        <v>79237506</v>
      </c>
      <c r="D46" s="8"/>
      <c r="E46" s="4"/>
      <c r="J46" s="1"/>
      <c r="K46" s="4"/>
      <c r="M46" s="4"/>
      <c r="N46" s="1"/>
      <c r="O46" s="1"/>
    </row>
    <row r="47" spans="2:16" x14ac:dyDescent="0.3">
      <c r="B47" s="32" t="s">
        <v>8</v>
      </c>
      <c r="C47" s="69">
        <f>MROUND(C45*70%,1)</f>
        <v>65254416</v>
      </c>
      <c r="D47" s="8"/>
      <c r="E47" s="4"/>
      <c r="F47" s="15"/>
      <c r="G47" s="15"/>
      <c r="J47" s="1"/>
      <c r="K47" s="4"/>
      <c r="M47" s="4"/>
      <c r="N47" s="1"/>
      <c r="O47" s="1"/>
    </row>
    <row r="48" spans="2:16" x14ac:dyDescent="0.3">
      <c r="B48" s="32" t="s">
        <v>26</v>
      </c>
      <c r="C48" s="69"/>
      <c r="D48" s="4"/>
      <c r="E48" s="4"/>
      <c r="F48" s="4"/>
      <c r="J48" s="1"/>
      <c r="K48" s="4"/>
      <c r="M48" s="33"/>
      <c r="N48" s="1"/>
      <c r="O48" s="1"/>
    </row>
    <row r="49" spans="2:15" x14ac:dyDescent="0.3">
      <c r="B49" s="31" t="s">
        <v>27</v>
      </c>
      <c r="C49" s="69"/>
      <c r="D49" s="4"/>
      <c r="E49" s="4"/>
      <c r="F49" s="4"/>
      <c r="J49" s="1"/>
      <c r="K49" s="4"/>
      <c r="M49" s="33"/>
      <c r="N49" s="1"/>
      <c r="O49" s="1"/>
    </row>
    <row r="50" spans="2:15" x14ac:dyDescent="0.3">
      <c r="B50" s="1"/>
      <c r="F50" s="75"/>
    </row>
    <row r="51" spans="2:15" x14ac:dyDescent="0.3">
      <c r="B51" s="1"/>
      <c r="F51" s="75"/>
      <c r="M51" s="34"/>
    </row>
    <row r="52" spans="2:15" x14ac:dyDescent="0.3">
      <c r="B52" s="1"/>
      <c r="M52" s="34"/>
    </row>
    <row r="53" spans="2:15" x14ac:dyDescent="0.3">
      <c r="B53" s="1"/>
      <c r="M53" s="34"/>
    </row>
    <row r="54" spans="2:15" x14ac:dyDescent="0.3">
      <c r="B54" s="1"/>
      <c r="M54" s="34"/>
    </row>
    <row r="55" spans="2:15" x14ac:dyDescent="0.3">
      <c r="B55" s="1"/>
      <c r="M55" s="34"/>
    </row>
    <row r="56" spans="2:15" ht="16.5" customHeight="1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</row>
    <row r="59" spans="2:15" x14ac:dyDescent="0.3">
      <c r="B59" s="1"/>
    </row>
    <row r="60" spans="2:15" x14ac:dyDescent="0.3">
      <c r="B60" s="1"/>
      <c r="C60" s="52"/>
    </row>
    <row r="61" spans="2:15" x14ac:dyDescent="0.3">
      <c r="B61" s="1"/>
      <c r="C61" s="52"/>
    </row>
    <row r="62" spans="2:15" x14ac:dyDescent="0.3">
      <c r="B62" s="1"/>
      <c r="C62" s="52"/>
    </row>
    <row r="63" spans="2:15" x14ac:dyDescent="0.3">
      <c r="B63" s="1"/>
    </row>
    <row r="64" spans="2:15" x14ac:dyDescent="0.3">
      <c r="B64" s="1"/>
      <c r="C64" s="52"/>
    </row>
    <row r="65" spans="2:11" x14ac:dyDescent="0.3">
      <c r="B65" s="1"/>
      <c r="C65" s="52"/>
      <c r="F65" s="15"/>
      <c r="G65" s="15"/>
    </row>
    <row r="66" spans="2:11" x14ac:dyDescent="0.3">
      <c r="B66" s="1"/>
      <c r="C66" s="52"/>
    </row>
    <row r="67" spans="2:11" x14ac:dyDescent="0.3">
      <c r="B67" s="1"/>
      <c r="C67" s="52"/>
    </row>
    <row r="68" spans="2:11" x14ac:dyDescent="0.3">
      <c r="B68" s="1"/>
      <c r="C68" s="52"/>
    </row>
    <row r="69" spans="2:11" x14ac:dyDescent="0.3">
      <c r="B69" s="1"/>
      <c r="C69" s="52"/>
      <c r="G69" s="35"/>
      <c r="H69" s="35"/>
      <c r="I69" s="35"/>
      <c r="J69" s="35"/>
      <c r="K69" s="6"/>
    </row>
    <row r="70" spans="2:11" x14ac:dyDescent="0.3">
      <c r="B70" s="1"/>
      <c r="C70" s="52"/>
      <c r="G70" s="33"/>
      <c r="H70" s="1"/>
      <c r="I70" s="33"/>
      <c r="J70" s="33"/>
    </row>
    <row r="71" spans="2:11" x14ac:dyDescent="0.3">
      <c r="B71" s="1"/>
      <c r="C71" s="52"/>
      <c r="G71" s="33"/>
      <c r="H71" s="33"/>
      <c r="I71" s="43"/>
      <c r="J71" s="4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6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  <c r="G77" s="33"/>
      <c r="H77" s="33"/>
      <c r="I77" s="33"/>
      <c r="J77" s="33"/>
    </row>
    <row r="78" spans="2:11" x14ac:dyDescent="0.3">
      <c r="B78" s="1"/>
      <c r="C78" s="52"/>
      <c r="G78" s="33"/>
      <c r="H78" s="33"/>
      <c r="I78" s="33"/>
      <c r="J78" s="33"/>
    </row>
    <row r="79" spans="2:11" x14ac:dyDescent="0.3">
      <c r="B79" s="1"/>
      <c r="C79" s="52"/>
      <c r="G79" s="33"/>
      <c r="H79" s="33"/>
      <c r="I79" s="33"/>
      <c r="J79" s="33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</row>
    <row r="83" spans="2:7" x14ac:dyDescent="0.3">
      <c r="B83" s="1"/>
      <c r="C83" s="52"/>
    </row>
    <row r="84" spans="2:7" x14ac:dyDescent="0.3">
      <c r="B84" s="1"/>
      <c r="C84" s="52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  <c r="G92" s="37"/>
    </row>
    <row r="93" spans="2:7" x14ac:dyDescent="0.3">
      <c r="B93" s="1"/>
      <c r="C93" s="52"/>
      <c r="G93" s="37"/>
    </row>
    <row r="94" spans="2:7" x14ac:dyDescent="0.3">
      <c r="B94" s="1"/>
      <c r="C94" s="52"/>
      <c r="G94" s="37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>
        <f>3350000/300</f>
        <v>11166.666666666666</v>
      </c>
      <c r="C97" s="52"/>
    </row>
    <row r="98" spans="2:3" x14ac:dyDescent="0.3">
      <c r="B98" s="1">
        <f>B97/10.764</f>
        <v>1037.4086461042982</v>
      </c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>
        <f>1969*10.764</f>
        <v>21194.315999999999</v>
      </c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  <row r="183" spans="2:3" x14ac:dyDescent="0.3">
      <c r="B183" s="1"/>
      <c r="C183" s="52"/>
    </row>
    <row r="184" spans="2:3" x14ac:dyDescent="0.3">
      <c r="B184" s="1"/>
      <c r="C184" s="52"/>
    </row>
    <row r="185" spans="2:3" x14ac:dyDescent="0.3">
      <c r="B185" s="1"/>
      <c r="C185" s="52"/>
    </row>
  </sheetData>
  <mergeCells count="6">
    <mergeCell ref="B30:C30"/>
    <mergeCell ref="B35:C35"/>
    <mergeCell ref="B40:C40"/>
    <mergeCell ref="B3:G3"/>
    <mergeCell ref="B13:C13"/>
    <mergeCell ref="B4:G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50B94-FBA7-48BB-98CD-AC0C1D9D14E4}">
  <dimension ref="B1:P185"/>
  <sheetViews>
    <sheetView zoomScaleNormal="100" workbookViewId="0">
      <pane xSplit="3" ySplit="14" topLeftCell="D15" activePane="bottomRight" state="frozen"/>
      <selection pane="topRight" activeCell="C1" sqref="C1"/>
      <selection pane="bottomLeft" activeCell="A7" sqref="A7"/>
      <selection pane="bottomRight" activeCell="C45" sqref="C45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/>
    </row>
    <row r="2" spans="2:16" x14ac:dyDescent="0.3">
      <c r="B2" s="66"/>
      <c r="C2" s="64"/>
      <c r="D2" s="65"/>
      <c r="E2"/>
    </row>
    <row r="3" spans="2:16" ht="21.75" customHeight="1" x14ac:dyDescent="0.3">
      <c r="B3" s="96"/>
      <c r="C3" s="96"/>
      <c r="D3" s="96"/>
      <c r="E3" s="96"/>
      <c r="F3" s="96"/>
      <c r="G3" s="96"/>
    </row>
    <row r="4" spans="2:16" ht="29.25" customHeight="1" x14ac:dyDescent="0.3">
      <c r="B4" s="98" t="s">
        <v>39</v>
      </c>
      <c r="C4" s="98"/>
      <c r="D4" s="98"/>
      <c r="E4" s="98"/>
      <c r="F4" s="98"/>
      <c r="G4" s="98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E8" s="1">
        <v>8158</v>
      </c>
      <c r="F8" s="1">
        <v>1030</v>
      </c>
      <c r="G8" s="90">
        <f>E8*F8</f>
        <v>8402740</v>
      </c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8158</v>
      </c>
      <c r="D9" s="38" t="s">
        <v>32</v>
      </c>
      <c r="G9" s="90">
        <f>N28</f>
        <v>24554329</v>
      </c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8300</v>
      </c>
      <c r="D10" s="14"/>
      <c r="F10" s="74"/>
      <c r="G10" s="90">
        <f>SUM(G8:G9)</f>
        <v>32957069</v>
      </c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67711400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97" t="s">
        <v>52</v>
      </c>
      <c r="C13" s="97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584.86</v>
      </c>
      <c r="D16" s="23">
        <v>1997</v>
      </c>
      <c r="E16" s="23">
        <v>2024</v>
      </c>
      <c r="F16" s="44">
        <v>50</v>
      </c>
      <c r="G16" s="44">
        <v>12500</v>
      </c>
      <c r="H16" s="44">
        <f t="shared" ref="H16:H25" si="0">E16-D16</f>
        <v>27</v>
      </c>
      <c r="I16" s="44">
        <f t="shared" ref="I16:I25" si="1">F16-H16</f>
        <v>23</v>
      </c>
      <c r="J16" s="44">
        <f t="shared" ref="J16:J27" si="2">IF(H16&gt;=5,90*H16/F16,0)</f>
        <v>48.6</v>
      </c>
      <c r="K16" s="44">
        <f t="shared" ref="K16:K28" si="3">G16/100*J16</f>
        <v>6075</v>
      </c>
      <c r="L16" s="44">
        <f t="shared" ref="L16:L28" si="4">ROUND((G16-K16),0)</f>
        <v>6425</v>
      </c>
      <c r="M16" s="44">
        <f t="shared" ref="M16:M27" si="5">O16-N16</f>
        <v>3553024</v>
      </c>
      <c r="N16" s="44">
        <f t="shared" ref="N16:N27" si="6">ROUND(L16*C16,0)</f>
        <v>3757726</v>
      </c>
      <c r="O16" s="44">
        <f t="shared" ref="O16:O27" si="7">ROUND(G16*C16,0)</f>
        <v>7310750</v>
      </c>
    </row>
    <row r="17" spans="2:16" s="22" customFormat="1" x14ac:dyDescent="0.3">
      <c r="B17" s="45" t="s">
        <v>41</v>
      </c>
      <c r="C17" s="86">
        <v>338.78</v>
      </c>
      <c r="D17" s="23">
        <v>1997</v>
      </c>
      <c r="E17" s="23">
        <v>2024</v>
      </c>
      <c r="F17" s="44">
        <v>50</v>
      </c>
      <c r="G17" s="44">
        <v>12500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6075</v>
      </c>
      <c r="L17" s="44">
        <f t="shared" si="4"/>
        <v>6425</v>
      </c>
      <c r="M17" s="44">
        <f t="shared" si="5"/>
        <v>2058088</v>
      </c>
      <c r="N17" s="44">
        <f t="shared" si="6"/>
        <v>2176662</v>
      </c>
      <c r="O17" s="44">
        <f t="shared" si="7"/>
        <v>4234750</v>
      </c>
    </row>
    <row r="18" spans="2:16" s="22" customFormat="1" x14ac:dyDescent="0.3">
      <c r="B18" s="45" t="s">
        <v>42</v>
      </c>
      <c r="C18" s="86">
        <v>783.27</v>
      </c>
      <c r="D18" s="23">
        <v>1997</v>
      </c>
      <c r="E18" s="23">
        <v>2024</v>
      </c>
      <c r="F18" s="44">
        <v>50</v>
      </c>
      <c r="G18" s="44">
        <v>11500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5589</v>
      </c>
      <c r="L18" s="44">
        <f t="shared" si="4"/>
        <v>5911</v>
      </c>
      <c r="M18" s="44">
        <f t="shared" si="5"/>
        <v>4377696</v>
      </c>
      <c r="N18" s="44">
        <f t="shared" si="6"/>
        <v>4629909</v>
      </c>
      <c r="O18" s="44">
        <f t="shared" si="7"/>
        <v>9007605</v>
      </c>
    </row>
    <row r="19" spans="2:16" s="22" customFormat="1" x14ac:dyDescent="0.3">
      <c r="B19" s="45" t="s">
        <v>43</v>
      </c>
      <c r="C19" s="86">
        <v>964.35</v>
      </c>
      <c r="D19" s="23">
        <v>1997</v>
      </c>
      <c r="E19" s="23">
        <v>2024</v>
      </c>
      <c r="F19" s="44">
        <v>50</v>
      </c>
      <c r="G19" s="44">
        <v>12500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6075</v>
      </c>
      <c r="L19" s="44">
        <f t="shared" si="4"/>
        <v>6425</v>
      </c>
      <c r="M19" s="44">
        <f t="shared" si="5"/>
        <v>5858426</v>
      </c>
      <c r="N19" s="44">
        <f t="shared" si="6"/>
        <v>6195949</v>
      </c>
      <c r="O19" s="44">
        <f t="shared" si="7"/>
        <v>12054375</v>
      </c>
    </row>
    <row r="20" spans="2:16" s="22" customFormat="1" x14ac:dyDescent="0.3">
      <c r="B20" s="45" t="s">
        <v>44</v>
      </c>
      <c r="C20" s="86">
        <v>994.19</v>
      </c>
      <c r="D20" s="23">
        <v>1997</v>
      </c>
      <c r="E20" s="23">
        <v>2024</v>
      </c>
      <c r="F20" s="44">
        <v>50</v>
      </c>
      <c r="G20" s="44">
        <v>12500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6075</v>
      </c>
      <c r="L20" s="44">
        <f t="shared" si="4"/>
        <v>6425</v>
      </c>
      <c r="M20" s="44">
        <f t="shared" si="5"/>
        <v>6039704</v>
      </c>
      <c r="N20" s="44">
        <f t="shared" si="6"/>
        <v>6387671</v>
      </c>
      <c r="O20" s="44">
        <f t="shared" si="7"/>
        <v>12427375</v>
      </c>
    </row>
    <row r="21" spans="2:16" s="22" customFormat="1" x14ac:dyDescent="0.3">
      <c r="B21" s="45" t="s">
        <v>54</v>
      </c>
      <c r="C21" s="86">
        <v>275.85000000000002</v>
      </c>
      <c r="D21" s="23">
        <v>1997</v>
      </c>
      <c r="E21" s="23">
        <v>2024</v>
      </c>
      <c r="F21" s="44">
        <v>50</v>
      </c>
      <c r="G21" s="44">
        <v>7000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3402</v>
      </c>
      <c r="L21" s="44">
        <f t="shared" si="4"/>
        <v>3598</v>
      </c>
      <c r="M21" s="44">
        <f t="shared" si="5"/>
        <v>938442</v>
      </c>
      <c r="N21" s="44">
        <f t="shared" si="6"/>
        <v>992508</v>
      </c>
      <c r="O21" s="44">
        <f t="shared" si="7"/>
        <v>1930950</v>
      </c>
    </row>
    <row r="22" spans="2:16" s="22" customFormat="1" x14ac:dyDescent="0.3">
      <c r="B22" s="45" t="s">
        <v>46</v>
      </c>
      <c r="C22" s="86">
        <v>54</v>
      </c>
      <c r="D22" s="23">
        <v>1997</v>
      </c>
      <c r="E22" s="23">
        <v>2024</v>
      </c>
      <c r="F22" s="44">
        <v>50</v>
      </c>
      <c r="G22" s="44">
        <v>7000</v>
      </c>
      <c r="H22" s="44">
        <f t="shared" si="0"/>
        <v>27</v>
      </c>
      <c r="I22" s="44">
        <f t="shared" si="1"/>
        <v>23</v>
      </c>
      <c r="J22" s="44">
        <f t="shared" si="2"/>
        <v>48.6</v>
      </c>
      <c r="K22" s="44">
        <f t="shared" si="3"/>
        <v>3402</v>
      </c>
      <c r="L22" s="44">
        <f t="shared" si="4"/>
        <v>3598</v>
      </c>
      <c r="M22" s="44">
        <f t="shared" si="5"/>
        <v>183708</v>
      </c>
      <c r="N22" s="44">
        <f t="shared" si="6"/>
        <v>194292</v>
      </c>
      <c r="O22" s="44">
        <f t="shared" si="7"/>
        <v>378000</v>
      </c>
    </row>
    <row r="23" spans="2:16" s="22" customFormat="1" x14ac:dyDescent="0.3">
      <c r="B23" s="45" t="s">
        <v>47</v>
      </c>
      <c r="C23" s="86">
        <v>30</v>
      </c>
      <c r="D23" s="23">
        <v>1997</v>
      </c>
      <c r="E23" s="23">
        <v>2024</v>
      </c>
      <c r="F23" s="44">
        <v>50</v>
      </c>
      <c r="G23" s="44">
        <v>10000</v>
      </c>
      <c r="H23" s="44">
        <f t="shared" si="0"/>
        <v>27</v>
      </c>
      <c r="I23" s="44">
        <f t="shared" si="1"/>
        <v>23</v>
      </c>
      <c r="J23" s="44">
        <f t="shared" si="2"/>
        <v>48.6</v>
      </c>
      <c r="K23" s="44">
        <f t="shared" si="3"/>
        <v>4860</v>
      </c>
      <c r="L23" s="44">
        <f t="shared" si="4"/>
        <v>5140</v>
      </c>
      <c r="M23" s="44">
        <f t="shared" si="5"/>
        <v>145800</v>
      </c>
      <c r="N23" s="44">
        <f t="shared" si="6"/>
        <v>154200</v>
      </c>
      <c r="O23" s="44">
        <f t="shared" si="7"/>
        <v>300000</v>
      </c>
    </row>
    <row r="24" spans="2:16" s="22" customFormat="1" x14ac:dyDescent="0.3">
      <c r="B24" s="45" t="s">
        <v>48</v>
      </c>
      <c r="C24" s="86">
        <v>12.6</v>
      </c>
      <c r="D24" s="23">
        <v>1997</v>
      </c>
      <c r="E24" s="23">
        <v>2024</v>
      </c>
      <c r="F24" s="44">
        <v>50</v>
      </c>
      <c r="G24" s="44">
        <v>7000</v>
      </c>
      <c r="H24" s="44">
        <f t="shared" si="0"/>
        <v>27</v>
      </c>
      <c r="I24" s="44">
        <f t="shared" si="1"/>
        <v>23</v>
      </c>
      <c r="J24" s="44">
        <f t="shared" si="2"/>
        <v>48.6</v>
      </c>
      <c r="K24" s="44">
        <f t="shared" si="3"/>
        <v>3402</v>
      </c>
      <c r="L24" s="44">
        <f t="shared" si="4"/>
        <v>3598</v>
      </c>
      <c r="M24" s="44">
        <f t="shared" si="5"/>
        <v>42865</v>
      </c>
      <c r="N24" s="44">
        <f t="shared" si="6"/>
        <v>45335</v>
      </c>
      <c r="O24" s="44">
        <f t="shared" si="7"/>
        <v>88200</v>
      </c>
    </row>
    <row r="25" spans="2:16" s="22" customFormat="1" x14ac:dyDescent="0.3">
      <c r="B25" s="45" t="s">
        <v>49</v>
      </c>
      <c r="C25" s="86">
        <v>5.58</v>
      </c>
      <c r="D25" s="23">
        <v>1997</v>
      </c>
      <c r="E25" s="23">
        <v>2024</v>
      </c>
      <c r="F25" s="44">
        <v>50</v>
      </c>
      <c r="G25" s="44">
        <v>7000</v>
      </c>
      <c r="H25" s="44">
        <f t="shared" si="0"/>
        <v>27</v>
      </c>
      <c r="I25" s="44">
        <f t="shared" si="1"/>
        <v>23</v>
      </c>
      <c r="J25" s="44">
        <f t="shared" si="2"/>
        <v>48.6</v>
      </c>
      <c r="K25" s="44">
        <f t="shared" si="3"/>
        <v>3402</v>
      </c>
      <c r="L25" s="44">
        <f t="shared" si="4"/>
        <v>3598</v>
      </c>
      <c r="M25" s="44">
        <f t="shared" si="5"/>
        <v>18983</v>
      </c>
      <c r="N25" s="44">
        <f t="shared" si="6"/>
        <v>20077</v>
      </c>
      <c r="O25" s="44">
        <f t="shared" si="7"/>
        <v>39060</v>
      </c>
    </row>
    <row r="26" spans="2:16" s="22" customFormat="1" x14ac:dyDescent="0.3">
      <c r="B26" s="45" t="s">
        <v>50</v>
      </c>
      <c r="C26" s="86"/>
      <c r="D26" s="23"/>
      <c r="E26" s="23"/>
      <c r="F26" s="44"/>
      <c r="G26" s="44"/>
      <c r="H26" s="44"/>
      <c r="I26" s="44"/>
      <c r="J26" s="44">
        <f t="shared" si="2"/>
        <v>0</v>
      </c>
      <c r="K26" s="44">
        <f t="shared" si="3"/>
        <v>0</v>
      </c>
      <c r="L26" s="44">
        <f t="shared" si="4"/>
        <v>0</v>
      </c>
      <c r="M26" s="44">
        <f t="shared" si="5"/>
        <v>0</v>
      </c>
      <c r="N26" s="44">
        <f t="shared" si="6"/>
        <v>0</v>
      </c>
      <c r="O26" s="44">
        <f t="shared" si="7"/>
        <v>0</v>
      </c>
    </row>
    <row r="27" spans="2:16" s="22" customFormat="1" x14ac:dyDescent="0.3">
      <c r="B27" s="45"/>
      <c r="C27" s="86"/>
      <c r="D27" s="23"/>
      <c r="E27" s="23"/>
      <c r="F27" s="44"/>
      <c r="G27" s="44"/>
      <c r="H27" s="44">
        <f t="shared" ref="H27" si="8">E27-D27</f>
        <v>0</v>
      </c>
      <c r="I27" s="44">
        <f t="shared" ref="I27" si="9">F27-H27</f>
        <v>0</v>
      </c>
      <c r="J27" s="44">
        <f t="shared" si="2"/>
        <v>0</v>
      </c>
      <c r="K27" s="44">
        <f t="shared" si="3"/>
        <v>0</v>
      </c>
      <c r="L27" s="44">
        <f t="shared" si="4"/>
        <v>0</v>
      </c>
      <c r="M27" s="44">
        <f t="shared" si="5"/>
        <v>0</v>
      </c>
      <c r="N27" s="44">
        <f t="shared" si="6"/>
        <v>0</v>
      </c>
      <c r="O27" s="44">
        <f t="shared" si="7"/>
        <v>0</v>
      </c>
    </row>
    <row r="28" spans="2:16" s="26" customFormat="1" x14ac:dyDescent="0.3">
      <c r="B28" s="25" t="s">
        <v>33</v>
      </c>
      <c r="C28" s="57">
        <f>SUM(C16:C27)</f>
        <v>4043.4799999999996</v>
      </c>
      <c r="D28" s="45"/>
      <c r="E28" s="23"/>
      <c r="F28" s="44"/>
      <c r="G28" s="44"/>
      <c r="H28" s="44"/>
      <c r="I28" s="44"/>
      <c r="J28" s="44"/>
      <c r="K28" s="44">
        <f t="shared" si="3"/>
        <v>0</v>
      </c>
      <c r="L28" s="44">
        <f t="shared" si="4"/>
        <v>0</v>
      </c>
      <c r="M28" s="84">
        <f ca="1">SUM(M27:M28)</f>
        <v>11913106</v>
      </c>
      <c r="N28" s="84">
        <f>SUM(N16:N27)</f>
        <v>24554329</v>
      </c>
      <c r="O28" s="84">
        <f>SUM(O16:O27)</f>
        <v>47771065</v>
      </c>
      <c r="P28" s="76"/>
    </row>
    <row r="29" spans="2:16" s="26" customFormat="1" ht="18.75" customHeight="1" x14ac:dyDescent="0.3">
      <c r="B29" s="47"/>
      <c r="C29" s="58"/>
      <c r="D29" s="48"/>
      <c r="E29" s="48"/>
      <c r="F29" s="49"/>
      <c r="G29" s="50"/>
      <c r="H29" s="51"/>
      <c r="I29" s="51"/>
      <c r="J29" s="51"/>
      <c r="K29" s="51"/>
      <c r="L29" s="51"/>
    </row>
    <row r="30" spans="2:16" x14ac:dyDescent="0.3">
      <c r="B30" s="91" t="s">
        <v>23</v>
      </c>
      <c r="C30" s="91"/>
      <c r="D30" s="24"/>
      <c r="E30" s="24"/>
      <c r="G30" s="71"/>
      <c r="H30" s="29"/>
      <c r="I30" s="1"/>
      <c r="J30" s="1"/>
      <c r="L30" s="1"/>
      <c r="N30" s="1"/>
      <c r="O30" s="1"/>
      <c r="P30" s="19"/>
    </row>
    <row r="31" spans="2:16" x14ac:dyDescent="0.3">
      <c r="B31" s="12" t="s">
        <v>24</v>
      </c>
      <c r="C31" s="72"/>
      <c r="D31" s="24"/>
      <c r="E31" s="4"/>
      <c r="F31" s="71"/>
      <c r="H31" s="85"/>
      <c r="I31" s="1"/>
      <c r="J31" s="1"/>
      <c r="L31" s="1"/>
      <c r="M31" s="79"/>
      <c r="N31" s="79"/>
      <c r="O31" s="1"/>
      <c r="P31" s="19"/>
    </row>
    <row r="32" spans="2:16" x14ac:dyDescent="0.3">
      <c r="B32" s="13" t="s">
        <v>5</v>
      </c>
      <c r="C32" s="73"/>
      <c r="D32" s="24"/>
      <c r="E32" s="24"/>
      <c r="G32" s="29"/>
      <c r="H32" s="29"/>
      <c r="I32" s="26"/>
      <c r="J32" s="26"/>
      <c r="K32" s="26"/>
      <c r="L32" s="26"/>
      <c r="N32" s="78"/>
      <c r="O32" s="1"/>
    </row>
    <row r="33" spans="2:16" x14ac:dyDescent="0.3">
      <c r="B33" s="13" t="s">
        <v>6</v>
      </c>
      <c r="C33" s="72">
        <f>ROUND((C31*C32),0)</f>
        <v>0</v>
      </c>
      <c r="D33" s="24"/>
      <c r="E33" s="82"/>
      <c r="G33" s="29"/>
      <c r="H33" s="29"/>
      <c r="I33" s="1"/>
      <c r="J33" s="1"/>
      <c r="L33" s="19"/>
      <c r="M33" s="19"/>
      <c r="N33" s="19">
        <f>N28*0.85</f>
        <v>20871179.649999999</v>
      </c>
      <c r="O33" s="1"/>
    </row>
    <row r="34" spans="2:16" x14ac:dyDescent="0.3">
      <c r="B34" s="27"/>
      <c r="C34" s="59"/>
      <c r="D34" s="24"/>
      <c r="E34" s="46"/>
      <c r="G34" s="80"/>
      <c r="H34" s="80"/>
      <c r="I34" s="1"/>
      <c r="J34" s="26"/>
      <c r="K34" s="26"/>
      <c r="L34" s="1"/>
      <c r="N34" s="1"/>
      <c r="O34" s="1"/>
    </row>
    <row r="35" spans="2:16" ht="16.5" customHeight="1" x14ac:dyDescent="0.3">
      <c r="B35" s="92" t="s">
        <v>13</v>
      </c>
      <c r="C35" s="93"/>
      <c r="D35" s="24"/>
      <c r="E35" s="28"/>
      <c r="F35" s="11"/>
      <c r="G35" s="68"/>
      <c r="H35" s="67"/>
      <c r="I35" s="1"/>
      <c r="J35" s="1"/>
      <c r="L35" s="1"/>
      <c r="M35" s="77"/>
      <c r="N35" s="1"/>
      <c r="O35" s="1"/>
    </row>
    <row r="36" spans="2:16" x14ac:dyDescent="0.3">
      <c r="B36" s="12" t="s">
        <v>9</v>
      </c>
      <c r="C36" s="54">
        <f>C9-C28</f>
        <v>4114.5200000000004</v>
      </c>
      <c r="D36" s="30"/>
      <c r="E36" s="4"/>
      <c r="F36" s="11"/>
      <c r="H36" s="1"/>
      <c r="I36" s="1"/>
      <c r="J36" s="1"/>
      <c r="L36" s="1"/>
      <c r="M36" s="77"/>
      <c r="N36" s="1"/>
      <c r="O36" s="1"/>
    </row>
    <row r="37" spans="2:16" x14ac:dyDescent="0.3">
      <c r="B37" s="13" t="s">
        <v>5</v>
      </c>
      <c r="C37" s="87">
        <v>250</v>
      </c>
      <c r="D37" s="17"/>
      <c r="E37" s="4"/>
      <c r="H37" s="1"/>
      <c r="I37" s="1"/>
      <c r="J37" s="1"/>
      <c r="L37" s="1"/>
      <c r="N37" s="1"/>
      <c r="O37" s="1"/>
    </row>
    <row r="38" spans="2:16" x14ac:dyDescent="0.3">
      <c r="B38" s="13" t="s">
        <v>6</v>
      </c>
      <c r="C38" s="88">
        <f>MROUND((C36*C37),1000000)</f>
        <v>1000000</v>
      </c>
      <c r="D38" s="5"/>
      <c r="E38" s="4"/>
      <c r="H38" s="1"/>
      <c r="I38" s="1"/>
      <c r="J38" s="1"/>
      <c r="L38" s="1"/>
      <c r="M38" s="26"/>
      <c r="O38" s="1"/>
    </row>
    <row r="39" spans="2:16" x14ac:dyDescent="0.3">
      <c r="C39" s="60"/>
      <c r="D39" s="5"/>
      <c r="E39" s="5"/>
      <c r="G39" s="11"/>
      <c r="I39" s="7"/>
      <c r="J39" s="7"/>
      <c r="M39" s="77"/>
      <c r="N39" s="1"/>
    </row>
    <row r="40" spans="2:16" x14ac:dyDescent="0.3">
      <c r="B40" s="94" t="s">
        <v>53</v>
      </c>
      <c r="C40" s="95"/>
      <c r="D40" s="11"/>
      <c r="E40" s="4"/>
      <c r="F40" s="7"/>
      <c r="G40" s="7"/>
      <c r="H40" s="1"/>
      <c r="J40" s="11"/>
      <c r="K40" s="4"/>
      <c r="M40" s="26"/>
      <c r="O40" s="1"/>
    </row>
    <row r="41" spans="2:16" x14ac:dyDescent="0.3">
      <c r="B41" s="31" t="s">
        <v>11</v>
      </c>
      <c r="C41" s="88">
        <f>C11</f>
        <v>67711400</v>
      </c>
      <c r="D41" s="9"/>
      <c r="E41" s="9"/>
      <c r="F41" s="10"/>
      <c r="G41" s="10"/>
      <c r="H41" s="1"/>
      <c r="J41" s="8"/>
      <c r="K41" s="4"/>
      <c r="M41" s="77"/>
      <c r="N41" s="1"/>
      <c r="O41" s="1"/>
    </row>
    <row r="42" spans="2:16" x14ac:dyDescent="0.3">
      <c r="B42" s="31" t="s">
        <v>12</v>
      </c>
      <c r="C42" s="88">
        <f>N28</f>
        <v>24554329</v>
      </c>
      <c r="D42" s="9"/>
      <c r="E42" s="9"/>
      <c r="F42" s="75"/>
      <c r="J42" s="10"/>
      <c r="K42" s="4"/>
      <c r="M42" s="77"/>
      <c r="N42" s="1"/>
      <c r="P42" s="4"/>
    </row>
    <row r="43" spans="2:16" x14ac:dyDescent="0.3">
      <c r="B43" s="31" t="s">
        <v>25</v>
      </c>
      <c r="C43" s="88"/>
      <c r="D43" s="9"/>
      <c r="E43" s="9"/>
      <c r="F43" s="10"/>
      <c r="G43" s="10"/>
      <c r="J43" s="10"/>
      <c r="K43" s="4"/>
      <c r="M43" s="77"/>
      <c r="N43" s="1"/>
      <c r="O43" s="1"/>
    </row>
    <row r="44" spans="2:16" x14ac:dyDescent="0.3">
      <c r="B44" s="31" t="s">
        <v>10</v>
      </c>
      <c r="C44" s="88">
        <f>C38</f>
        <v>1000000</v>
      </c>
      <c r="D44" s="9"/>
      <c r="E44" s="9"/>
      <c r="F44" s="10"/>
      <c r="G44" s="10"/>
      <c r="H44" s="1"/>
      <c r="J44" s="10"/>
      <c r="K44" s="4"/>
      <c r="M44" s="4"/>
      <c r="N44" s="1"/>
      <c r="O44" s="1"/>
    </row>
    <row r="45" spans="2:16" x14ac:dyDescent="0.3">
      <c r="B45" s="32" t="s">
        <v>29</v>
      </c>
      <c r="C45" s="89">
        <f>C41+C42+C43+C44</f>
        <v>93265729</v>
      </c>
      <c r="D45" s="8"/>
      <c r="E45" s="4"/>
      <c r="F45" s="15"/>
      <c r="G45" s="4" t="s">
        <v>30</v>
      </c>
      <c r="J45" s="1"/>
      <c r="K45" s="4"/>
      <c r="M45" s="4"/>
      <c r="N45" s="1"/>
      <c r="O45" s="1"/>
    </row>
    <row r="46" spans="2:16" x14ac:dyDescent="0.3">
      <c r="B46" s="32" t="s">
        <v>7</v>
      </c>
      <c r="C46" s="89">
        <f>ROUND(C45*0.85,0)</f>
        <v>79275870</v>
      </c>
      <c r="D46" s="8"/>
      <c r="E46" s="4"/>
      <c r="J46" s="1"/>
      <c r="K46" s="4"/>
      <c r="M46" s="4"/>
      <c r="N46" s="1"/>
      <c r="O46" s="1"/>
    </row>
    <row r="47" spans="2:16" x14ac:dyDescent="0.3">
      <c r="B47" s="32" t="s">
        <v>8</v>
      </c>
      <c r="C47" s="89">
        <f>MROUND(C45*70%,1)</f>
        <v>65286010</v>
      </c>
      <c r="D47" s="8"/>
      <c r="E47" s="4"/>
      <c r="F47" s="15"/>
      <c r="G47" s="15"/>
      <c r="J47" s="1"/>
      <c r="K47" s="4"/>
      <c r="M47" s="4"/>
      <c r="N47" s="1"/>
      <c r="O47" s="1"/>
    </row>
    <row r="48" spans="2:16" x14ac:dyDescent="0.3">
      <c r="B48" s="32" t="s">
        <v>26</v>
      </c>
      <c r="C48" s="89">
        <f>C42*85%</f>
        <v>20871179.649999999</v>
      </c>
      <c r="D48" s="4"/>
      <c r="E48" s="4"/>
      <c r="F48" s="4"/>
      <c r="J48" s="1"/>
      <c r="K48" s="4"/>
      <c r="M48" s="33"/>
      <c r="N48" s="1"/>
      <c r="O48" s="1"/>
    </row>
    <row r="49" spans="2:15" x14ac:dyDescent="0.3">
      <c r="B49" s="31" t="s">
        <v>27</v>
      </c>
      <c r="C49" s="89"/>
      <c r="D49" s="4"/>
      <c r="E49" s="4"/>
      <c r="F49" s="4"/>
      <c r="J49" s="1"/>
      <c r="K49" s="4"/>
      <c r="M49" s="33"/>
      <c r="N49" s="1"/>
      <c r="O49" s="1"/>
    </row>
    <row r="50" spans="2:15" x14ac:dyDescent="0.3">
      <c r="B50" s="1"/>
      <c r="F50" s="75"/>
    </row>
    <row r="51" spans="2:15" x14ac:dyDescent="0.3">
      <c r="B51" s="1"/>
      <c r="F51" s="75"/>
      <c r="M51" s="34"/>
    </row>
    <row r="52" spans="2:15" x14ac:dyDescent="0.3">
      <c r="B52" s="1"/>
      <c r="M52" s="34"/>
    </row>
    <row r="53" spans="2:15" x14ac:dyDescent="0.3">
      <c r="B53" s="1"/>
      <c r="M53" s="34"/>
    </row>
    <row r="54" spans="2:15" x14ac:dyDescent="0.3">
      <c r="B54" s="1"/>
      <c r="M54" s="34"/>
    </row>
    <row r="55" spans="2:15" x14ac:dyDescent="0.3">
      <c r="B55" s="1"/>
      <c r="M55" s="34"/>
    </row>
    <row r="56" spans="2:15" ht="16.5" customHeight="1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</row>
    <row r="59" spans="2:15" x14ac:dyDescent="0.3">
      <c r="B59" s="1"/>
    </row>
    <row r="60" spans="2:15" x14ac:dyDescent="0.3">
      <c r="B60" s="1"/>
      <c r="C60" s="52"/>
    </row>
    <row r="61" spans="2:15" x14ac:dyDescent="0.3">
      <c r="B61" s="1"/>
      <c r="C61" s="52"/>
    </row>
    <row r="62" spans="2:15" x14ac:dyDescent="0.3">
      <c r="B62" s="1"/>
      <c r="C62" s="52"/>
    </row>
    <row r="63" spans="2:15" x14ac:dyDescent="0.3">
      <c r="B63" s="1"/>
    </row>
    <row r="64" spans="2:15" x14ac:dyDescent="0.3">
      <c r="B64" s="1"/>
      <c r="C64" s="52"/>
    </row>
    <row r="65" spans="2:11" x14ac:dyDescent="0.3">
      <c r="B65" s="1"/>
      <c r="C65" s="52"/>
      <c r="F65" s="15"/>
      <c r="G65" s="15"/>
    </row>
    <row r="66" spans="2:11" x14ac:dyDescent="0.3">
      <c r="B66" s="1"/>
      <c r="C66" s="52"/>
    </row>
    <row r="67" spans="2:11" x14ac:dyDescent="0.3">
      <c r="B67" s="1"/>
      <c r="C67" s="52"/>
    </row>
    <row r="68" spans="2:11" x14ac:dyDescent="0.3">
      <c r="B68" s="1"/>
      <c r="C68" s="52"/>
    </row>
    <row r="69" spans="2:11" x14ac:dyDescent="0.3">
      <c r="B69" s="1"/>
      <c r="C69" s="52"/>
      <c r="G69" s="35"/>
      <c r="H69" s="35"/>
      <c r="I69" s="35"/>
      <c r="J69" s="35"/>
      <c r="K69" s="6"/>
    </row>
    <row r="70" spans="2:11" x14ac:dyDescent="0.3">
      <c r="B70" s="1"/>
      <c r="C70" s="52"/>
      <c r="G70" s="33"/>
      <c r="H70" s="1"/>
      <c r="I70" s="33"/>
      <c r="J70" s="33"/>
    </row>
    <row r="71" spans="2:11" x14ac:dyDescent="0.3">
      <c r="B71" s="1"/>
      <c r="C71" s="52"/>
      <c r="G71" s="33"/>
      <c r="H71" s="33"/>
      <c r="I71" s="43"/>
      <c r="J71" s="4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6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  <c r="G77" s="33"/>
      <c r="H77" s="33"/>
      <c r="I77" s="33"/>
      <c r="J77" s="33"/>
    </row>
    <row r="78" spans="2:11" x14ac:dyDescent="0.3">
      <c r="B78" s="1"/>
      <c r="C78" s="52"/>
      <c r="G78" s="33"/>
      <c r="H78" s="33"/>
      <c r="I78" s="33"/>
      <c r="J78" s="33"/>
    </row>
    <row r="79" spans="2:11" x14ac:dyDescent="0.3">
      <c r="B79" s="1"/>
      <c r="C79" s="52"/>
      <c r="G79" s="33"/>
      <c r="H79" s="33"/>
      <c r="I79" s="33"/>
      <c r="J79" s="33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</row>
    <row r="83" spans="2:7" x14ac:dyDescent="0.3">
      <c r="B83" s="1"/>
      <c r="C83" s="52"/>
    </row>
    <row r="84" spans="2:7" x14ac:dyDescent="0.3">
      <c r="B84" s="1"/>
      <c r="C84" s="52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  <c r="G92" s="37"/>
    </row>
    <row r="93" spans="2:7" x14ac:dyDescent="0.3">
      <c r="B93" s="1"/>
      <c r="C93" s="52"/>
      <c r="G93" s="37"/>
    </row>
    <row r="94" spans="2:7" x14ac:dyDescent="0.3">
      <c r="B94" s="1"/>
      <c r="C94" s="52"/>
      <c r="G94" s="37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>
        <f>3350000/300</f>
        <v>11166.666666666666</v>
      </c>
      <c r="C97" s="52"/>
    </row>
    <row r="98" spans="2:3" x14ac:dyDescent="0.3">
      <c r="B98" s="1">
        <f>B97/10.764</f>
        <v>1037.4086461042982</v>
      </c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>
        <f>1969*10.764</f>
        <v>21194.315999999999</v>
      </c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  <row r="183" spans="2:3" x14ac:dyDescent="0.3">
      <c r="B183" s="1"/>
      <c r="C183" s="52"/>
    </row>
    <row r="184" spans="2:3" x14ac:dyDescent="0.3">
      <c r="B184" s="1"/>
      <c r="C184" s="52"/>
    </row>
    <row r="185" spans="2:3" x14ac:dyDescent="0.3">
      <c r="B185" s="1"/>
      <c r="C185" s="52"/>
    </row>
  </sheetData>
  <mergeCells count="6">
    <mergeCell ref="B40:C40"/>
    <mergeCell ref="B3:G3"/>
    <mergeCell ref="B4:G4"/>
    <mergeCell ref="B13:C13"/>
    <mergeCell ref="B30:C30"/>
    <mergeCell ref="B35:C35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4FEE-9C1B-424D-B6EF-0A53D457932C}">
  <dimension ref="B1:P185"/>
  <sheetViews>
    <sheetView zoomScaleNormal="100" workbookViewId="0">
      <pane xSplit="3" ySplit="14" topLeftCell="D15" activePane="bottomRight" state="frozen"/>
      <selection pane="topRight" activeCell="C1" sqref="C1"/>
      <selection pane="bottomLeft" activeCell="A7" sqref="A7"/>
      <selection pane="bottomRight" activeCell="C10" sqref="C10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>
        <f>584.86/2</f>
        <v>292.43</v>
      </c>
    </row>
    <row r="2" spans="2:16" x14ac:dyDescent="0.3">
      <c r="B2" s="66"/>
      <c r="C2" s="64"/>
      <c r="D2" s="65"/>
      <c r="E2"/>
    </row>
    <row r="3" spans="2:16" ht="21.75" customHeight="1" x14ac:dyDescent="0.3">
      <c r="B3" s="96"/>
      <c r="C3" s="96"/>
      <c r="D3" s="96"/>
      <c r="E3" s="96"/>
      <c r="F3" s="96"/>
      <c r="G3" s="96"/>
    </row>
    <row r="4" spans="2:16" ht="29.25" customHeight="1" x14ac:dyDescent="0.3">
      <c r="B4" s="98" t="s">
        <v>39</v>
      </c>
      <c r="C4" s="98"/>
      <c r="D4" s="98"/>
      <c r="E4" s="98"/>
      <c r="F4" s="98"/>
      <c r="G4" s="98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E8" s="1">
        <v>8158</v>
      </c>
      <c r="F8" s="1">
        <v>1030</v>
      </c>
      <c r="G8" s="90">
        <f>E8*F8</f>
        <v>8402740</v>
      </c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8158</v>
      </c>
      <c r="D9" s="38" t="s">
        <v>32</v>
      </c>
      <c r="G9" s="90">
        <f>N28</f>
        <v>24554329</v>
      </c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90">
        <f>SUM(G8:G9)</f>
        <v>32957069</v>
      </c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69343000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97" t="s">
        <v>52</v>
      </c>
      <c r="C13" s="97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584.86</v>
      </c>
      <c r="D16" s="23">
        <v>1997</v>
      </c>
      <c r="E16" s="23">
        <v>2024</v>
      </c>
      <c r="F16" s="44">
        <v>50</v>
      </c>
      <c r="G16" s="44">
        <v>12500</v>
      </c>
      <c r="H16" s="44">
        <f t="shared" ref="H16:H25" si="0">E16-D16</f>
        <v>27</v>
      </c>
      <c r="I16" s="44">
        <f t="shared" ref="I16:I25" si="1">F16-H16</f>
        <v>23</v>
      </c>
      <c r="J16" s="44">
        <f t="shared" ref="J16:J27" si="2">IF(H16&gt;=5,90*H16/F16,0)</f>
        <v>48.6</v>
      </c>
      <c r="K16" s="44">
        <f t="shared" ref="K16:K28" si="3">G16/100*J16</f>
        <v>6075</v>
      </c>
      <c r="L16" s="44">
        <f t="shared" ref="L16:L28" si="4">ROUND((G16-K16),0)</f>
        <v>6425</v>
      </c>
      <c r="M16" s="44">
        <f t="shared" ref="M16:M27" si="5">O16-N16</f>
        <v>3553024</v>
      </c>
      <c r="N16" s="44">
        <f t="shared" ref="N16:N27" si="6">ROUND(L16*C16,0)</f>
        <v>3757726</v>
      </c>
      <c r="O16" s="44">
        <f t="shared" ref="O16:O27" si="7">ROUND(G16*C16,0)</f>
        <v>7310750</v>
      </c>
    </row>
    <row r="17" spans="2:16" s="22" customFormat="1" x14ac:dyDescent="0.3">
      <c r="B17" s="45" t="s">
        <v>41</v>
      </c>
      <c r="C17" s="86">
        <v>338.78</v>
      </c>
      <c r="D17" s="23">
        <v>1997</v>
      </c>
      <c r="E17" s="23">
        <v>2024</v>
      </c>
      <c r="F17" s="44">
        <v>50</v>
      </c>
      <c r="G17" s="44">
        <v>12500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6075</v>
      </c>
      <c r="L17" s="44">
        <f t="shared" si="4"/>
        <v>6425</v>
      </c>
      <c r="M17" s="44">
        <f t="shared" si="5"/>
        <v>2058088</v>
      </c>
      <c r="N17" s="44">
        <f t="shared" si="6"/>
        <v>2176662</v>
      </c>
      <c r="O17" s="44">
        <f t="shared" si="7"/>
        <v>4234750</v>
      </c>
    </row>
    <row r="18" spans="2:16" s="22" customFormat="1" x14ac:dyDescent="0.3">
      <c r="B18" s="45" t="s">
        <v>42</v>
      </c>
      <c r="C18" s="86">
        <v>783.27</v>
      </c>
      <c r="D18" s="23">
        <v>1997</v>
      </c>
      <c r="E18" s="23">
        <v>2024</v>
      </c>
      <c r="F18" s="44">
        <v>50</v>
      </c>
      <c r="G18" s="44">
        <v>11500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5589</v>
      </c>
      <c r="L18" s="44">
        <f t="shared" si="4"/>
        <v>5911</v>
      </c>
      <c r="M18" s="44">
        <f t="shared" si="5"/>
        <v>4377696</v>
      </c>
      <c r="N18" s="44">
        <f t="shared" si="6"/>
        <v>4629909</v>
      </c>
      <c r="O18" s="44">
        <f t="shared" si="7"/>
        <v>9007605</v>
      </c>
    </row>
    <row r="19" spans="2:16" s="22" customFormat="1" x14ac:dyDescent="0.3">
      <c r="B19" s="45" t="s">
        <v>43</v>
      </c>
      <c r="C19" s="86">
        <v>964.35</v>
      </c>
      <c r="D19" s="23">
        <v>1997</v>
      </c>
      <c r="E19" s="23">
        <v>2024</v>
      </c>
      <c r="F19" s="44">
        <v>50</v>
      </c>
      <c r="G19" s="44">
        <v>12500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6075</v>
      </c>
      <c r="L19" s="44">
        <f t="shared" si="4"/>
        <v>6425</v>
      </c>
      <c r="M19" s="44">
        <f t="shared" si="5"/>
        <v>5858426</v>
      </c>
      <c r="N19" s="44">
        <f t="shared" si="6"/>
        <v>6195949</v>
      </c>
      <c r="O19" s="44">
        <f t="shared" si="7"/>
        <v>12054375</v>
      </c>
    </row>
    <row r="20" spans="2:16" s="22" customFormat="1" x14ac:dyDescent="0.3">
      <c r="B20" s="45" t="s">
        <v>44</v>
      </c>
      <c r="C20" s="86">
        <v>994.19</v>
      </c>
      <c r="D20" s="23">
        <v>1997</v>
      </c>
      <c r="E20" s="23">
        <v>2024</v>
      </c>
      <c r="F20" s="44">
        <v>50</v>
      </c>
      <c r="G20" s="44">
        <v>12500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6075</v>
      </c>
      <c r="L20" s="44">
        <f t="shared" si="4"/>
        <v>6425</v>
      </c>
      <c r="M20" s="44">
        <f t="shared" si="5"/>
        <v>6039704</v>
      </c>
      <c r="N20" s="44">
        <f t="shared" si="6"/>
        <v>6387671</v>
      </c>
      <c r="O20" s="44">
        <f t="shared" si="7"/>
        <v>12427375</v>
      </c>
    </row>
    <row r="21" spans="2:16" s="22" customFormat="1" x14ac:dyDescent="0.3">
      <c r="B21" s="45" t="s">
        <v>54</v>
      </c>
      <c r="C21" s="86">
        <v>275.85000000000002</v>
      </c>
      <c r="D21" s="23">
        <v>1997</v>
      </c>
      <c r="E21" s="23">
        <v>2024</v>
      </c>
      <c r="F21" s="44">
        <v>50</v>
      </c>
      <c r="G21" s="44">
        <v>7000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3402</v>
      </c>
      <c r="L21" s="44">
        <f t="shared" si="4"/>
        <v>3598</v>
      </c>
      <c r="M21" s="44">
        <f t="shared" si="5"/>
        <v>938442</v>
      </c>
      <c r="N21" s="44">
        <f t="shared" si="6"/>
        <v>992508</v>
      </c>
      <c r="O21" s="44">
        <f t="shared" si="7"/>
        <v>1930950</v>
      </c>
    </row>
    <row r="22" spans="2:16" s="22" customFormat="1" x14ac:dyDescent="0.3">
      <c r="B22" s="45" t="s">
        <v>46</v>
      </c>
      <c r="C22" s="86">
        <v>54</v>
      </c>
      <c r="D22" s="23">
        <v>1997</v>
      </c>
      <c r="E22" s="23">
        <v>2024</v>
      </c>
      <c r="F22" s="44">
        <v>50</v>
      </c>
      <c r="G22" s="44">
        <v>7000</v>
      </c>
      <c r="H22" s="44">
        <f t="shared" si="0"/>
        <v>27</v>
      </c>
      <c r="I22" s="44">
        <f t="shared" si="1"/>
        <v>23</v>
      </c>
      <c r="J22" s="44">
        <f t="shared" si="2"/>
        <v>48.6</v>
      </c>
      <c r="K22" s="44">
        <f t="shared" si="3"/>
        <v>3402</v>
      </c>
      <c r="L22" s="44">
        <f t="shared" si="4"/>
        <v>3598</v>
      </c>
      <c r="M22" s="44">
        <f t="shared" si="5"/>
        <v>183708</v>
      </c>
      <c r="N22" s="44">
        <f t="shared" si="6"/>
        <v>194292</v>
      </c>
      <c r="O22" s="44">
        <f t="shared" si="7"/>
        <v>378000</v>
      </c>
    </row>
    <row r="23" spans="2:16" s="22" customFormat="1" x14ac:dyDescent="0.3">
      <c r="B23" s="45" t="s">
        <v>47</v>
      </c>
      <c r="C23" s="86">
        <v>30</v>
      </c>
      <c r="D23" s="23">
        <v>1997</v>
      </c>
      <c r="E23" s="23">
        <v>2024</v>
      </c>
      <c r="F23" s="44">
        <v>50</v>
      </c>
      <c r="G23" s="44">
        <v>10000</v>
      </c>
      <c r="H23" s="44">
        <f t="shared" si="0"/>
        <v>27</v>
      </c>
      <c r="I23" s="44">
        <f t="shared" si="1"/>
        <v>23</v>
      </c>
      <c r="J23" s="44">
        <f t="shared" si="2"/>
        <v>48.6</v>
      </c>
      <c r="K23" s="44">
        <f t="shared" si="3"/>
        <v>4860</v>
      </c>
      <c r="L23" s="44">
        <f t="shared" si="4"/>
        <v>5140</v>
      </c>
      <c r="M23" s="44">
        <f t="shared" si="5"/>
        <v>145800</v>
      </c>
      <c r="N23" s="44">
        <f t="shared" si="6"/>
        <v>154200</v>
      </c>
      <c r="O23" s="44">
        <f t="shared" si="7"/>
        <v>300000</v>
      </c>
    </row>
    <row r="24" spans="2:16" s="22" customFormat="1" x14ac:dyDescent="0.3">
      <c r="B24" s="45" t="s">
        <v>48</v>
      </c>
      <c r="C24" s="86">
        <v>12.6</v>
      </c>
      <c r="D24" s="23">
        <v>1997</v>
      </c>
      <c r="E24" s="23">
        <v>2024</v>
      </c>
      <c r="F24" s="44">
        <v>50</v>
      </c>
      <c r="G24" s="44">
        <v>7000</v>
      </c>
      <c r="H24" s="44">
        <f t="shared" si="0"/>
        <v>27</v>
      </c>
      <c r="I24" s="44">
        <f t="shared" si="1"/>
        <v>23</v>
      </c>
      <c r="J24" s="44">
        <f t="shared" si="2"/>
        <v>48.6</v>
      </c>
      <c r="K24" s="44">
        <f t="shared" si="3"/>
        <v>3402</v>
      </c>
      <c r="L24" s="44">
        <f t="shared" si="4"/>
        <v>3598</v>
      </c>
      <c r="M24" s="44">
        <f t="shared" si="5"/>
        <v>42865</v>
      </c>
      <c r="N24" s="44">
        <f t="shared" si="6"/>
        <v>45335</v>
      </c>
      <c r="O24" s="44">
        <f t="shared" si="7"/>
        <v>88200</v>
      </c>
    </row>
    <row r="25" spans="2:16" s="22" customFormat="1" x14ac:dyDescent="0.3">
      <c r="B25" s="45" t="s">
        <v>49</v>
      </c>
      <c r="C25" s="86">
        <v>5.58</v>
      </c>
      <c r="D25" s="23">
        <v>1997</v>
      </c>
      <c r="E25" s="23">
        <v>2024</v>
      </c>
      <c r="F25" s="44">
        <v>50</v>
      </c>
      <c r="G25" s="44">
        <v>7000</v>
      </c>
      <c r="H25" s="44">
        <f t="shared" si="0"/>
        <v>27</v>
      </c>
      <c r="I25" s="44">
        <f t="shared" si="1"/>
        <v>23</v>
      </c>
      <c r="J25" s="44">
        <f t="shared" si="2"/>
        <v>48.6</v>
      </c>
      <c r="K25" s="44">
        <f t="shared" si="3"/>
        <v>3402</v>
      </c>
      <c r="L25" s="44">
        <f t="shared" si="4"/>
        <v>3598</v>
      </c>
      <c r="M25" s="44">
        <f t="shared" si="5"/>
        <v>18983</v>
      </c>
      <c r="N25" s="44">
        <f t="shared" si="6"/>
        <v>20077</v>
      </c>
      <c r="O25" s="44">
        <f t="shared" si="7"/>
        <v>39060</v>
      </c>
    </row>
    <row r="26" spans="2:16" s="22" customFormat="1" x14ac:dyDescent="0.3">
      <c r="B26" s="45" t="s">
        <v>50</v>
      </c>
      <c r="C26" s="86"/>
      <c r="D26" s="23"/>
      <c r="E26" s="23"/>
      <c r="F26" s="44"/>
      <c r="G26" s="44"/>
      <c r="H26" s="44"/>
      <c r="I26" s="44"/>
      <c r="J26" s="44">
        <f t="shared" si="2"/>
        <v>0</v>
      </c>
      <c r="K26" s="44">
        <f t="shared" si="3"/>
        <v>0</v>
      </c>
      <c r="L26" s="44">
        <f t="shared" si="4"/>
        <v>0</v>
      </c>
      <c r="M26" s="44">
        <f t="shared" si="5"/>
        <v>0</v>
      </c>
      <c r="N26" s="44">
        <f t="shared" si="6"/>
        <v>0</v>
      </c>
      <c r="O26" s="44">
        <f t="shared" si="7"/>
        <v>0</v>
      </c>
    </row>
    <row r="27" spans="2:16" s="22" customFormat="1" x14ac:dyDescent="0.3">
      <c r="B27" s="45"/>
      <c r="C27" s="86"/>
      <c r="D27" s="23"/>
      <c r="E27" s="23"/>
      <c r="F27" s="44"/>
      <c r="G27" s="44"/>
      <c r="H27" s="44">
        <f t="shared" ref="H27" si="8">E27-D27</f>
        <v>0</v>
      </c>
      <c r="I27" s="44">
        <f t="shared" ref="I27" si="9">F27-H27</f>
        <v>0</v>
      </c>
      <c r="J27" s="44">
        <f t="shared" si="2"/>
        <v>0</v>
      </c>
      <c r="K27" s="44">
        <f t="shared" si="3"/>
        <v>0</v>
      </c>
      <c r="L27" s="44">
        <f t="shared" si="4"/>
        <v>0</v>
      </c>
      <c r="M27" s="44">
        <f t="shared" si="5"/>
        <v>0</v>
      </c>
      <c r="N27" s="44">
        <f t="shared" si="6"/>
        <v>0</v>
      </c>
      <c r="O27" s="44">
        <f t="shared" si="7"/>
        <v>0</v>
      </c>
    </row>
    <row r="28" spans="2:16" s="26" customFormat="1" x14ac:dyDescent="0.3">
      <c r="B28" s="25" t="s">
        <v>33</v>
      </c>
      <c r="C28" s="57">
        <f>SUM(C16:C27)</f>
        <v>4043.4799999999996</v>
      </c>
      <c r="D28" s="45"/>
      <c r="E28" s="23"/>
      <c r="F28" s="44"/>
      <c r="G28" s="44"/>
      <c r="H28" s="44"/>
      <c r="I28" s="44"/>
      <c r="J28" s="44"/>
      <c r="K28" s="44">
        <f t="shared" si="3"/>
        <v>0</v>
      </c>
      <c r="L28" s="44">
        <f t="shared" si="4"/>
        <v>0</v>
      </c>
      <c r="M28" s="84">
        <f ca="1">SUM(M27:M28)</f>
        <v>11913106</v>
      </c>
      <c r="N28" s="84">
        <f>SUM(N16:N27)</f>
        <v>24554329</v>
      </c>
      <c r="O28" s="84">
        <f>SUM(O16:O27)</f>
        <v>47771065</v>
      </c>
      <c r="P28" s="76"/>
    </row>
    <row r="29" spans="2:16" s="26" customFormat="1" ht="18.75" customHeight="1" x14ac:dyDescent="0.3">
      <c r="B29" s="47"/>
      <c r="C29" s="58"/>
      <c r="D29" s="48"/>
      <c r="E29" s="48">
        <v>292.43</v>
      </c>
      <c r="F29" s="49">
        <f>C28-E29</f>
        <v>3751.0499999999997</v>
      </c>
      <c r="G29" s="50"/>
      <c r="H29" s="51"/>
      <c r="I29" s="51"/>
      <c r="J29" s="51"/>
      <c r="K29" s="51"/>
      <c r="L29" s="51"/>
    </row>
    <row r="30" spans="2:16" x14ac:dyDescent="0.3">
      <c r="B30" s="91" t="s">
        <v>23</v>
      </c>
      <c r="C30" s="91"/>
      <c r="D30" s="24"/>
      <c r="E30" s="24"/>
      <c r="G30" s="71"/>
      <c r="H30" s="29">
        <f>1500000/F29</f>
        <v>399.88803135122168</v>
      </c>
      <c r="I30" s="1"/>
      <c r="J30" s="1"/>
      <c r="L30" s="1"/>
      <c r="N30" s="1"/>
      <c r="O30" s="1"/>
      <c r="P30" s="19"/>
    </row>
    <row r="31" spans="2:16" x14ac:dyDescent="0.3">
      <c r="B31" s="12" t="s">
        <v>24</v>
      </c>
      <c r="C31" s="72"/>
      <c r="D31" s="24"/>
      <c r="E31" s="4"/>
      <c r="F31" s="71"/>
      <c r="H31" s="85"/>
      <c r="I31" s="1"/>
      <c r="J31" s="1"/>
      <c r="L31" s="1"/>
      <c r="M31" s="79"/>
      <c r="N31" s="79"/>
      <c r="O31" s="1"/>
      <c r="P31" s="19"/>
    </row>
    <row r="32" spans="2:16" x14ac:dyDescent="0.3">
      <c r="B32" s="13" t="s">
        <v>5</v>
      </c>
      <c r="C32" s="73"/>
      <c r="D32" s="24"/>
      <c r="E32" s="24"/>
      <c r="G32" s="29"/>
      <c r="H32" s="29"/>
      <c r="I32" s="26"/>
      <c r="J32" s="26"/>
      <c r="K32" s="26"/>
      <c r="L32" s="26"/>
      <c r="N32" s="78"/>
      <c r="O32" s="1"/>
    </row>
    <row r="33" spans="2:16" x14ac:dyDescent="0.3">
      <c r="B33" s="13" t="s">
        <v>6</v>
      </c>
      <c r="C33" s="72">
        <f>ROUND((C31*C32),0)</f>
        <v>0</v>
      </c>
      <c r="D33" s="24"/>
      <c r="E33" s="82"/>
      <c r="G33" s="29"/>
      <c r="H33" s="29"/>
      <c r="I33" s="1"/>
      <c r="J33" s="1"/>
      <c r="L33" s="19"/>
      <c r="M33" s="19"/>
      <c r="N33" s="19">
        <f>N28*0.85</f>
        <v>20871179.649999999</v>
      </c>
      <c r="O33" s="1"/>
    </row>
    <row r="34" spans="2:16" x14ac:dyDescent="0.3">
      <c r="B34" s="27"/>
      <c r="C34" s="59"/>
      <c r="D34" s="24"/>
      <c r="E34" s="46"/>
      <c r="G34" s="80"/>
      <c r="H34" s="80"/>
      <c r="I34" s="1"/>
      <c r="J34" s="26"/>
      <c r="K34" s="26"/>
      <c r="L34" s="1"/>
      <c r="N34" s="1"/>
      <c r="O34" s="1"/>
    </row>
    <row r="35" spans="2:16" ht="16.5" customHeight="1" x14ac:dyDescent="0.3">
      <c r="B35" s="92" t="s">
        <v>13</v>
      </c>
      <c r="C35" s="93"/>
      <c r="D35" s="24"/>
      <c r="E35" s="28"/>
      <c r="F35" s="11"/>
      <c r="G35" s="68"/>
      <c r="H35" s="67"/>
      <c r="I35" s="1"/>
      <c r="J35" s="1"/>
      <c r="L35" s="1"/>
      <c r="M35" s="77"/>
      <c r="N35" s="1"/>
      <c r="O35" s="1"/>
    </row>
    <row r="36" spans="2:16" x14ac:dyDescent="0.3">
      <c r="B36" s="12" t="s">
        <v>9</v>
      </c>
      <c r="C36" s="54">
        <v>3751.05</v>
      </c>
      <c r="D36" s="30"/>
      <c r="E36" s="4"/>
      <c r="F36" s="11"/>
      <c r="H36" s="1"/>
      <c r="I36" s="1"/>
      <c r="J36" s="1"/>
      <c r="L36" s="1"/>
      <c r="M36" s="77"/>
      <c r="N36" s="1"/>
      <c r="O36" s="1"/>
    </row>
    <row r="37" spans="2:16" x14ac:dyDescent="0.3">
      <c r="B37" s="13" t="s">
        <v>5</v>
      </c>
      <c r="C37" s="87">
        <v>400</v>
      </c>
      <c r="D37" s="17"/>
      <c r="E37" s="4"/>
      <c r="H37" s="1"/>
      <c r="I37" s="1"/>
      <c r="J37" s="1"/>
      <c r="L37" s="1"/>
      <c r="N37" s="1"/>
      <c r="O37" s="1"/>
    </row>
    <row r="38" spans="2:16" x14ac:dyDescent="0.3">
      <c r="B38" s="13" t="s">
        <v>6</v>
      </c>
      <c r="C38" s="88">
        <f>MROUND(C36*C37,10000)</f>
        <v>1500000</v>
      </c>
      <c r="D38" s="5"/>
      <c r="E38" s="4"/>
      <c r="H38" s="1"/>
      <c r="I38" s="1"/>
      <c r="J38" s="1"/>
      <c r="L38" s="1"/>
      <c r="M38" s="26"/>
      <c r="O38" s="1"/>
    </row>
    <row r="39" spans="2:16" x14ac:dyDescent="0.3">
      <c r="C39" s="60"/>
      <c r="D39" s="5"/>
      <c r="E39" s="5"/>
      <c r="G39" s="11"/>
      <c r="I39" s="7"/>
      <c r="J39" s="7"/>
      <c r="M39" s="77"/>
      <c r="N39" s="1"/>
    </row>
    <row r="40" spans="2:16" x14ac:dyDescent="0.3">
      <c r="B40" s="94" t="s">
        <v>53</v>
      </c>
      <c r="C40" s="95"/>
      <c r="D40" s="11"/>
      <c r="E40" s="4"/>
      <c r="F40" s="7"/>
      <c r="G40" s="7"/>
      <c r="H40" s="1"/>
      <c r="J40" s="11"/>
      <c r="K40" s="4"/>
      <c r="M40" s="26"/>
      <c r="O40" s="1"/>
    </row>
    <row r="41" spans="2:16" x14ac:dyDescent="0.3">
      <c r="B41" s="31" t="s">
        <v>11</v>
      </c>
      <c r="C41" s="88">
        <f>C11</f>
        <v>69343000</v>
      </c>
      <c r="D41" s="9"/>
      <c r="E41" s="9"/>
      <c r="F41" s="10"/>
      <c r="G41" s="10"/>
      <c r="H41" s="1"/>
      <c r="J41" s="8"/>
      <c r="K41" s="4"/>
      <c r="M41" s="77"/>
      <c r="N41" s="1"/>
      <c r="O41" s="1"/>
    </row>
    <row r="42" spans="2:16" x14ac:dyDescent="0.3">
      <c r="B42" s="31" t="s">
        <v>12</v>
      </c>
      <c r="C42" s="88">
        <f>N28</f>
        <v>24554329</v>
      </c>
      <c r="D42" s="9"/>
      <c r="E42" s="9"/>
      <c r="F42" s="75"/>
      <c r="J42" s="10"/>
      <c r="K42" s="4"/>
      <c r="M42" s="77"/>
      <c r="N42" s="1"/>
      <c r="P42" s="4"/>
    </row>
    <row r="43" spans="2:16" x14ac:dyDescent="0.3">
      <c r="B43" s="31" t="s">
        <v>25</v>
      </c>
      <c r="C43" s="88"/>
      <c r="D43" s="9"/>
      <c r="E43" s="9"/>
      <c r="F43" s="10"/>
      <c r="G43" s="10"/>
      <c r="J43" s="10"/>
      <c r="K43" s="4"/>
      <c r="M43" s="77"/>
      <c r="N43" s="1"/>
      <c r="O43" s="1"/>
    </row>
    <row r="44" spans="2:16" x14ac:dyDescent="0.3">
      <c r="B44" s="31" t="s">
        <v>10</v>
      </c>
      <c r="C44" s="88">
        <f>C38</f>
        <v>1500000</v>
      </c>
      <c r="D44" s="9"/>
      <c r="E44" s="9"/>
      <c r="F44" s="10"/>
      <c r="G44" s="10"/>
      <c r="H44" s="1"/>
      <c r="J44" s="10"/>
      <c r="K44" s="4"/>
      <c r="M44" s="4"/>
      <c r="N44" s="1"/>
      <c r="O44" s="1"/>
    </row>
    <row r="45" spans="2:16" x14ac:dyDescent="0.3">
      <c r="B45" s="32" t="s">
        <v>29</v>
      </c>
      <c r="C45" s="89">
        <f>C41+C42+C43+C44</f>
        <v>95397329</v>
      </c>
      <c r="D45" s="8"/>
      <c r="E45" s="4"/>
      <c r="F45" s="15"/>
      <c r="G45" s="4" t="s">
        <v>30</v>
      </c>
      <c r="J45" s="1"/>
      <c r="K45" s="4"/>
      <c r="M45" s="4"/>
      <c r="N45" s="1"/>
      <c r="O45" s="1"/>
    </row>
    <row r="46" spans="2:16" x14ac:dyDescent="0.3">
      <c r="B46" s="32" t="s">
        <v>7</v>
      </c>
      <c r="C46" s="89">
        <f>ROUND(C45*0.9,0)</f>
        <v>85857596</v>
      </c>
      <c r="D46" s="8"/>
      <c r="E46" s="4"/>
      <c r="J46" s="1"/>
      <c r="K46" s="4"/>
      <c r="M46" s="4"/>
      <c r="N46" s="1"/>
      <c r="O46" s="1"/>
    </row>
    <row r="47" spans="2:16" x14ac:dyDescent="0.3">
      <c r="B47" s="32" t="s">
        <v>8</v>
      </c>
      <c r="C47" s="89">
        <f>MROUND(C45*80%,1)</f>
        <v>76317863</v>
      </c>
      <c r="D47" s="8"/>
      <c r="E47" s="4"/>
      <c r="F47" s="15"/>
      <c r="G47" s="15"/>
      <c r="J47" s="1"/>
      <c r="K47" s="4"/>
      <c r="M47" s="4"/>
      <c r="N47" s="1"/>
      <c r="O47" s="1"/>
    </row>
    <row r="48" spans="2:16" x14ac:dyDescent="0.3">
      <c r="B48" s="32" t="s">
        <v>26</v>
      </c>
      <c r="C48" s="89">
        <f>C42*85%</f>
        <v>20871179.649999999</v>
      </c>
      <c r="D48" s="4"/>
      <c r="E48" s="4"/>
      <c r="F48" s="4"/>
      <c r="J48" s="1"/>
      <c r="K48" s="4"/>
      <c r="M48" s="33"/>
      <c r="N48" s="1"/>
      <c r="O48" s="1"/>
    </row>
    <row r="49" spans="2:15" x14ac:dyDescent="0.3">
      <c r="B49" s="31" t="s">
        <v>27</v>
      </c>
      <c r="C49" s="89"/>
      <c r="D49" s="4"/>
      <c r="E49" s="4"/>
      <c r="F49" s="4"/>
      <c r="J49" s="1"/>
      <c r="K49" s="4"/>
      <c r="M49" s="33"/>
      <c r="N49" s="1"/>
      <c r="O49" s="1"/>
    </row>
    <row r="50" spans="2:15" x14ac:dyDescent="0.3">
      <c r="B50" s="1"/>
      <c r="F50" s="75"/>
    </row>
    <row r="51" spans="2:15" x14ac:dyDescent="0.3">
      <c r="B51" s="1"/>
      <c r="F51" s="75"/>
      <c r="M51" s="34"/>
    </row>
    <row r="52" spans="2:15" x14ac:dyDescent="0.3">
      <c r="B52" s="1"/>
      <c r="M52" s="34"/>
    </row>
    <row r="53" spans="2:15" x14ac:dyDescent="0.3">
      <c r="B53" s="1"/>
      <c r="M53" s="34"/>
    </row>
    <row r="54" spans="2:15" x14ac:dyDescent="0.3">
      <c r="B54" s="1"/>
      <c r="M54" s="34"/>
    </row>
    <row r="55" spans="2:15" x14ac:dyDescent="0.3">
      <c r="B55" s="1"/>
      <c r="M55" s="34"/>
    </row>
    <row r="56" spans="2:15" ht="16.5" customHeight="1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</row>
    <row r="59" spans="2:15" x14ac:dyDescent="0.3">
      <c r="B59" s="1"/>
    </row>
    <row r="60" spans="2:15" x14ac:dyDescent="0.3">
      <c r="B60" s="1"/>
      <c r="C60" s="52"/>
    </row>
    <row r="61" spans="2:15" x14ac:dyDescent="0.3">
      <c r="B61" s="1"/>
      <c r="C61" s="52"/>
    </row>
    <row r="62" spans="2:15" x14ac:dyDescent="0.3">
      <c r="B62" s="1"/>
      <c r="C62" s="52"/>
    </row>
    <row r="63" spans="2:15" x14ac:dyDescent="0.3">
      <c r="B63" s="1"/>
    </row>
    <row r="64" spans="2:15" x14ac:dyDescent="0.3">
      <c r="B64" s="1"/>
      <c r="C64" s="52"/>
    </row>
    <row r="65" spans="2:11" x14ac:dyDescent="0.3">
      <c r="B65" s="1"/>
      <c r="C65" s="52"/>
      <c r="F65" s="15"/>
      <c r="G65" s="15"/>
    </row>
    <row r="66" spans="2:11" x14ac:dyDescent="0.3">
      <c r="B66" s="1"/>
      <c r="C66" s="52"/>
    </row>
    <row r="67" spans="2:11" x14ac:dyDescent="0.3">
      <c r="B67" s="1"/>
      <c r="C67" s="52"/>
    </row>
    <row r="68" spans="2:11" x14ac:dyDescent="0.3">
      <c r="B68" s="1"/>
      <c r="C68" s="52"/>
    </row>
    <row r="69" spans="2:11" x14ac:dyDescent="0.3">
      <c r="B69" s="1"/>
      <c r="C69" s="52"/>
      <c r="G69" s="35"/>
      <c r="H69" s="35"/>
      <c r="I69" s="35"/>
      <c r="J69" s="35"/>
      <c r="K69" s="6"/>
    </row>
    <row r="70" spans="2:11" x14ac:dyDescent="0.3">
      <c r="B70" s="1"/>
      <c r="C70" s="52"/>
      <c r="G70" s="33"/>
      <c r="H70" s="1"/>
      <c r="I70" s="33"/>
      <c r="J70" s="33"/>
    </row>
    <row r="71" spans="2:11" x14ac:dyDescent="0.3">
      <c r="B71" s="1"/>
      <c r="C71" s="52"/>
      <c r="G71" s="33"/>
      <c r="H71" s="33"/>
      <c r="I71" s="43"/>
      <c r="J71" s="4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6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  <c r="G77" s="33"/>
      <c r="H77" s="33"/>
      <c r="I77" s="33"/>
      <c r="J77" s="33"/>
    </row>
    <row r="78" spans="2:11" x14ac:dyDescent="0.3">
      <c r="B78" s="1"/>
      <c r="C78" s="52"/>
      <c r="G78" s="33"/>
      <c r="H78" s="33"/>
      <c r="I78" s="33"/>
      <c r="J78" s="33"/>
    </row>
    <row r="79" spans="2:11" x14ac:dyDescent="0.3">
      <c r="B79" s="1"/>
      <c r="C79" s="52"/>
      <c r="G79" s="33"/>
      <c r="H79" s="33"/>
      <c r="I79" s="33"/>
      <c r="J79" s="33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</row>
    <row r="83" spans="2:7" x14ac:dyDescent="0.3">
      <c r="B83" s="1"/>
      <c r="C83" s="52"/>
    </row>
    <row r="84" spans="2:7" x14ac:dyDescent="0.3">
      <c r="B84" s="1"/>
      <c r="C84" s="52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  <c r="G92" s="37"/>
    </row>
    <row r="93" spans="2:7" x14ac:dyDescent="0.3">
      <c r="B93" s="1"/>
      <c r="C93" s="52"/>
      <c r="G93" s="37"/>
    </row>
    <row r="94" spans="2:7" x14ac:dyDescent="0.3">
      <c r="B94" s="1"/>
      <c r="C94" s="52"/>
      <c r="G94" s="37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>
        <f>3350000/300</f>
        <v>11166.666666666666</v>
      </c>
      <c r="C97" s="52"/>
    </row>
    <row r="98" spans="2:3" x14ac:dyDescent="0.3">
      <c r="B98" s="1">
        <f>B97/10.764</f>
        <v>1037.4086461042982</v>
      </c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>
        <f>1969*10.764</f>
        <v>21194.315999999999</v>
      </c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  <row r="183" spans="2:3" x14ac:dyDescent="0.3">
      <c r="B183" s="1"/>
      <c r="C183" s="52"/>
    </row>
    <row r="184" spans="2:3" x14ac:dyDescent="0.3">
      <c r="B184" s="1"/>
      <c r="C184" s="52"/>
    </row>
    <row r="185" spans="2:3" x14ac:dyDescent="0.3">
      <c r="B185" s="1"/>
      <c r="C185" s="52"/>
    </row>
  </sheetData>
  <mergeCells count="6">
    <mergeCell ref="B40:C40"/>
    <mergeCell ref="B3:G3"/>
    <mergeCell ref="B4:G4"/>
    <mergeCell ref="B13:C13"/>
    <mergeCell ref="B30:C30"/>
    <mergeCell ref="B35:C35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C4C40-5116-4769-B7DA-DCE7315FEE39}">
  <dimension ref="B1:P185"/>
  <sheetViews>
    <sheetView tabSelected="1" zoomScaleNormal="100" workbookViewId="0">
      <pane xSplit="3" ySplit="14" topLeftCell="D36" activePane="bottomRight" state="frozen"/>
      <selection pane="topRight" activeCell="C1" sqref="C1"/>
      <selection pane="bottomLeft" activeCell="A7" sqref="A7"/>
      <selection pane="bottomRight" activeCell="C48" sqref="C48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6.710937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6" style="1" customWidth="1"/>
    <col min="14" max="14" width="17.28515625" style="4" customWidth="1"/>
    <col min="15" max="15" width="18.140625" style="4" customWidth="1"/>
    <col min="16" max="16384" width="20" style="1"/>
  </cols>
  <sheetData>
    <row r="1" spans="2:16" x14ac:dyDescent="0.3">
      <c r="C1" s="63">
        <f>584.86/2</f>
        <v>292.43</v>
      </c>
    </row>
    <row r="2" spans="2:16" x14ac:dyDescent="0.3">
      <c r="B2" s="66"/>
      <c r="C2" s="64"/>
      <c r="D2" s="65"/>
      <c r="E2"/>
    </row>
    <row r="3" spans="2:16" ht="21.75" customHeight="1" x14ac:dyDescent="0.3">
      <c r="B3" s="96"/>
      <c r="C3" s="96"/>
      <c r="D3" s="96"/>
      <c r="E3" s="96"/>
      <c r="F3" s="96"/>
      <c r="G3" s="96"/>
    </row>
    <row r="4" spans="2:16" ht="29.25" customHeight="1" x14ac:dyDescent="0.3">
      <c r="B4" s="98" t="s">
        <v>39</v>
      </c>
      <c r="C4" s="98"/>
      <c r="D4" s="98"/>
      <c r="E4" s="98"/>
      <c r="F4" s="98"/>
      <c r="G4" s="98"/>
      <c r="H4" s="70"/>
      <c r="I4" s="1"/>
      <c r="J4" s="1"/>
      <c r="L4" s="1"/>
    </row>
    <row r="5" spans="2:16" ht="17.25" customHeight="1" x14ac:dyDescent="0.3">
      <c r="B5" s="70"/>
      <c r="C5" s="70"/>
      <c r="D5" s="70"/>
      <c r="E5" s="70"/>
      <c r="F5" s="70"/>
      <c r="G5" s="70"/>
      <c r="H5" s="70"/>
      <c r="I5" s="1"/>
      <c r="J5" s="1"/>
      <c r="L5" s="1"/>
    </row>
    <row r="6" spans="2:16" ht="15.75" customHeight="1" x14ac:dyDescent="0.3">
      <c r="B6" s="6" t="s">
        <v>11</v>
      </c>
      <c r="C6" s="52"/>
    </row>
    <row r="7" spans="2:16" x14ac:dyDescent="0.3">
      <c r="B7" s="12" t="s">
        <v>38</v>
      </c>
      <c r="C7" s="62"/>
      <c r="D7" s="38" t="s">
        <v>32</v>
      </c>
      <c r="G7" s="1"/>
      <c r="H7" s="1"/>
      <c r="I7" s="1"/>
      <c r="K7" s="4"/>
      <c r="M7" s="4"/>
      <c r="N7" s="1"/>
      <c r="O7" s="1"/>
    </row>
    <row r="8" spans="2:16" x14ac:dyDescent="0.3">
      <c r="B8" s="12" t="s">
        <v>38</v>
      </c>
      <c r="C8" s="62"/>
      <c r="D8" s="38" t="s">
        <v>32</v>
      </c>
      <c r="E8" s="1">
        <v>8158</v>
      </c>
      <c r="F8" s="1">
        <v>1030</v>
      </c>
      <c r="G8" s="90">
        <f>E8*F8</f>
        <v>8402740</v>
      </c>
      <c r="H8" s="1"/>
      <c r="I8" s="1"/>
      <c r="K8" s="4"/>
      <c r="M8" s="4"/>
      <c r="N8" s="1"/>
      <c r="O8" s="1"/>
    </row>
    <row r="9" spans="2:16" x14ac:dyDescent="0.3">
      <c r="B9" s="83" t="s">
        <v>37</v>
      </c>
      <c r="C9" s="62">
        <v>8158</v>
      </c>
      <c r="D9" s="38" t="s">
        <v>32</v>
      </c>
      <c r="G9" s="90">
        <f>N28</f>
        <v>23108962</v>
      </c>
      <c r="H9" s="1"/>
      <c r="I9" s="1"/>
      <c r="K9" s="4"/>
      <c r="M9" s="4"/>
      <c r="N9" s="1"/>
      <c r="O9" s="1"/>
    </row>
    <row r="10" spans="2:16" x14ac:dyDescent="0.3">
      <c r="B10" s="13" t="s">
        <v>5</v>
      </c>
      <c r="C10" s="53">
        <v>8500</v>
      </c>
      <c r="D10" s="14"/>
      <c r="F10" s="74"/>
      <c r="G10" s="90">
        <f>SUM(G8:G9)</f>
        <v>31511702</v>
      </c>
      <c r="H10" s="1"/>
      <c r="K10" s="4"/>
      <c r="M10" s="4"/>
      <c r="N10" s="1"/>
      <c r="O10" s="1"/>
    </row>
    <row r="11" spans="2:16" x14ac:dyDescent="0.3">
      <c r="B11" s="39" t="s">
        <v>16</v>
      </c>
      <c r="C11" s="88">
        <f>C9*C10</f>
        <v>69343000</v>
      </c>
      <c r="D11" s="14"/>
      <c r="G11" s="18"/>
      <c r="H11" s="1"/>
      <c r="K11" s="4"/>
      <c r="M11" s="4"/>
      <c r="N11" s="1"/>
      <c r="O11" s="1"/>
    </row>
    <row r="12" spans="2:16" ht="20.25" customHeight="1" x14ac:dyDescent="0.3">
      <c r="B12" s="40"/>
      <c r="C12" s="55"/>
      <c r="D12" s="41"/>
      <c r="F12" s="18"/>
      <c r="G12" s="20"/>
      <c r="H12" s="1"/>
      <c r="K12" s="4"/>
      <c r="M12" s="4"/>
      <c r="N12" s="1"/>
      <c r="O12" s="1"/>
    </row>
    <row r="13" spans="2:16" ht="33" customHeight="1" x14ac:dyDescent="0.3">
      <c r="B13" s="97" t="s">
        <v>52</v>
      </c>
      <c r="C13" s="97"/>
      <c r="E13" s="17"/>
    </row>
    <row r="14" spans="2:16" s="2" customFormat="1" ht="51" x14ac:dyDescent="0.2">
      <c r="B14" s="42" t="s">
        <v>17</v>
      </c>
      <c r="C14" s="56" t="s">
        <v>28</v>
      </c>
      <c r="D14" s="42" t="s">
        <v>0</v>
      </c>
      <c r="E14" s="42" t="s">
        <v>1</v>
      </c>
      <c r="F14" s="42" t="s">
        <v>2</v>
      </c>
      <c r="G14" s="42" t="s">
        <v>18</v>
      </c>
      <c r="H14" s="42" t="s">
        <v>31</v>
      </c>
      <c r="I14" s="42" t="s">
        <v>19</v>
      </c>
      <c r="J14" s="42" t="s">
        <v>3</v>
      </c>
      <c r="K14" s="42" t="s">
        <v>4</v>
      </c>
      <c r="L14" s="42" t="s">
        <v>14</v>
      </c>
      <c r="M14" s="42" t="s">
        <v>20</v>
      </c>
      <c r="N14" s="42" t="s">
        <v>15</v>
      </c>
      <c r="O14" s="42" t="s">
        <v>21</v>
      </c>
      <c r="P14" s="2" t="s">
        <v>34</v>
      </c>
    </row>
    <row r="15" spans="2:16" s="22" customFormat="1" x14ac:dyDescent="0.2">
      <c r="B15" s="21"/>
      <c r="C15" s="56" t="s">
        <v>36</v>
      </c>
      <c r="D15" s="42"/>
      <c r="E15" s="42"/>
      <c r="F15" s="42"/>
      <c r="G15" s="3" t="s">
        <v>22</v>
      </c>
      <c r="H15" s="42"/>
      <c r="I15" s="42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6" s="22" customFormat="1" x14ac:dyDescent="0.3">
      <c r="B16" s="45" t="s">
        <v>40</v>
      </c>
      <c r="C16" s="86">
        <v>584.86</v>
      </c>
      <c r="D16" s="23">
        <v>1997</v>
      </c>
      <c r="E16" s="23">
        <v>2024</v>
      </c>
      <c r="F16" s="44">
        <v>50</v>
      </c>
      <c r="G16" s="44">
        <v>12000</v>
      </c>
      <c r="H16" s="44">
        <f t="shared" ref="H16:H25" si="0">E16-D16</f>
        <v>27</v>
      </c>
      <c r="I16" s="44">
        <f t="shared" ref="I16:I25" si="1">F16-H16</f>
        <v>23</v>
      </c>
      <c r="J16" s="44">
        <f t="shared" ref="J16:J27" si="2">IF(H16&gt;=5,90*H16/F16,0)</f>
        <v>48.6</v>
      </c>
      <c r="K16" s="44">
        <f t="shared" ref="K16:K28" si="3">G16/100*J16</f>
        <v>5832</v>
      </c>
      <c r="L16" s="44">
        <f t="shared" ref="L16:L28" si="4">ROUND((G16-K16),0)</f>
        <v>6168</v>
      </c>
      <c r="M16" s="44">
        <f t="shared" ref="M16:M27" si="5">O16-N16</f>
        <v>3410904</v>
      </c>
      <c r="N16" s="44">
        <f t="shared" ref="N16:N27" si="6">ROUND(L16*C16,0)</f>
        <v>3607416</v>
      </c>
      <c r="O16" s="44">
        <f t="shared" ref="O16:O27" si="7">ROUND(G16*C16,0)</f>
        <v>7018320</v>
      </c>
    </row>
    <row r="17" spans="2:16" s="22" customFormat="1" x14ac:dyDescent="0.3">
      <c r="B17" s="45" t="s">
        <v>41</v>
      </c>
      <c r="C17" s="86">
        <v>338.78</v>
      </c>
      <c r="D17" s="23">
        <v>1997</v>
      </c>
      <c r="E17" s="23">
        <v>2024</v>
      </c>
      <c r="F17" s="44">
        <v>50</v>
      </c>
      <c r="G17" s="44">
        <v>12000</v>
      </c>
      <c r="H17" s="44">
        <f t="shared" si="0"/>
        <v>27</v>
      </c>
      <c r="I17" s="44">
        <f t="shared" si="1"/>
        <v>23</v>
      </c>
      <c r="J17" s="44">
        <f t="shared" si="2"/>
        <v>48.6</v>
      </c>
      <c r="K17" s="44">
        <f t="shared" si="3"/>
        <v>5832</v>
      </c>
      <c r="L17" s="44">
        <f t="shared" si="4"/>
        <v>6168</v>
      </c>
      <c r="M17" s="44">
        <f t="shared" si="5"/>
        <v>1975765</v>
      </c>
      <c r="N17" s="44">
        <f t="shared" si="6"/>
        <v>2089595</v>
      </c>
      <c r="O17" s="44">
        <f t="shared" si="7"/>
        <v>4065360</v>
      </c>
    </row>
    <row r="18" spans="2:16" s="22" customFormat="1" x14ac:dyDescent="0.3">
      <c r="B18" s="45" t="s">
        <v>42</v>
      </c>
      <c r="C18" s="86">
        <v>783.27</v>
      </c>
      <c r="D18" s="23">
        <v>1997</v>
      </c>
      <c r="E18" s="23">
        <v>2024</v>
      </c>
      <c r="F18" s="44">
        <v>50</v>
      </c>
      <c r="G18" s="44">
        <v>11000</v>
      </c>
      <c r="H18" s="44">
        <f t="shared" si="0"/>
        <v>27</v>
      </c>
      <c r="I18" s="44">
        <f t="shared" si="1"/>
        <v>23</v>
      </c>
      <c r="J18" s="44">
        <f t="shared" si="2"/>
        <v>48.6</v>
      </c>
      <c r="K18" s="44">
        <f t="shared" si="3"/>
        <v>5346</v>
      </c>
      <c r="L18" s="44">
        <f t="shared" si="4"/>
        <v>5654</v>
      </c>
      <c r="M18" s="44">
        <f t="shared" si="5"/>
        <v>4187361</v>
      </c>
      <c r="N18" s="44">
        <f t="shared" si="6"/>
        <v>4428609</v>
      </c>
      <c r="O18" s="44">
        <f t="shared" si="7"/>
        <v>8615970</v>
      </c>
    </row>
    <row r="19" spans="2:16" s="22" customFormat="1" x14ac:dyDescent="0.3">
      <c r="B19" s="45" t="s">
        <v>43</v>
      </c>
      <c r="C19" s="86">
        <v>964.35</v>
      </c>
      <c r="D19" s="23">
        <v>1997</v>
      </c>
      <c r="E19" s="23">
        <v>2024</v>
      </c>
      <c r="F19" s="44">
        <v>50</v>
      </c>
      <c r="G19" s="44">
        <v>11500</v>
      </c>
      <c r="H19" s="44">
        <f t="shared" si="0"/>
        <v>27</v>
      </c>
      <c r="I19" s="44">
        <f t="shared" si="1"/>
        <v>23</v>
      </c>
      <c r="J19" s="44">
        <f t="shared" si="2"/>
        <v>48.6</v>
      </c>
      <c r="K19" s="44">
        <f t="shared" si="3"/>
        <v>5589</v>
      </c>
      <c r="L19" s="44">
        <f t="shared" si="4"/>
        <v>5911</v>
      </c>
      <c r="M19" s="44">
        <f t="shared" si="5"/>
        <v>5389752</v>
      </c>
      <c r="N19" s="44">
        <f t="shared" si="6"/>
        <v>5700273</v>
      </c>
      <c r="O19" s="44">
        <f t="shared" si="7"/>
        <v>11090025</v>
      </c>
    </row>
    <row r="20" spans="2:16" s="22" customFormat="1" x14ac:dyDescent="0.3">
      <c r="B20" s="45" t="s">
        <v>44</v>
      </c>
      <c r="C20" s="86">
        <v>994.19</v>
      </c>
      <c r="D20" s="23">
        <v>1997</v>
      </c>
      <c r="E20" s="23">
        <v>2024</v>
      </c>
      <c r="F20" s="44">
        <v>50</v>
      </c>
      <c r="G20" s="44">
        <v>11500</v>
      </c>
      <c r="H20" s="44">
        <f t="shared" si="0"/>
        <v>27</v>
      </c>
      <c r="I20" s="44">
        <f t="shared" si="1"/>
        <v>23</v>
      </c>
      <c r="J20" s="44">
        <f t="shared" si="2"/>
        <v>48.6</v>
      </c>
      <c r="K20" s="44">
        <f t="shared" si="3"/>
        <v>5589</v>
      </c>
      <c r="L20" s="44">
        <f t="shared" si="4"/>
        <v>5911</v>
      </c>
      <c r="M20" s="44">
        <f t="shared" si="5"/>
        <v>5556528</v>
      </c>
      <c r="N20" s="44">
        <f t="shared" si="6"/>
        <v>5876657</v>
      </c>
      <c r="O20" s="44">
        <f t="shared" si="7"/>
        <v>11433185</v>
      </c>
    </row>
    <row r="21" spans="2:16" s="22" customFormat="1" x14ac:dyDescent="0.3">
      <c r="B21" s="45" t="s">
        <v>54</v>
      </c>
      <c r="C21" s="86">
        <v>275.85000000000002</v>
      </c>
      <c r="D21" s="23">
        <v>1997</v>
      </c>
      <c r="E21" s="23">
        <v>2024</v>
      </c>
      <c r="F21" s="44">
        <v>50</v>
      </c>
      <c r="G21" s="44">
        <v>7000</v>
      </c>
      <c r="H21" s="44">
        <f t="shared" si="0"/>
        <v>27</v>
      </c>
      <c r="I21" s="44">
        <f t="shared" si="1"/>
        <v>23</v>
      </c>
      <c r="J21" s="44">
        <f t="shared" si="2"/>
        <v>48.6</v>
      </c>
      <c r="K21" s="44">
        <f t="shared" si="3"/>
        <v>3402</v>
      </c>
      <c r="L21" s="44">
        <f t="shared" si="4"/>
        <v>3598</v>
      </c>
      <c r="M21" s="44">
        <f t="shared" si="5"/>
        <v>938442</v>
      </c>
      <c r="N21" s="44">
        <f t="shared" si="6"/>
        <v>992508</v>
      </c>
      <c r="O21" s="44">
        <f t="shared" si="7"/>
        <v>1930950</v>
      </c>
    </row>
    <row r="22" spans="2:16" s="22" customFormat="1" x14ac:dyDescent="0.3">
      <c r="B22" s="45" t="s">
        <v>46</v>
      </c>
      <c r="C22" s="86">
        <v>54</v>
      </c>
      <c r="D22" s="23">
        <v>1997</v>
      </c>
      <c r="E22" s="23">
        <v>2024</v>
      </c>
      <c r="F22" s="44">
        <v>50</v>
      </c>
      <c r="G22" s="44">
        <v>7000</v>
      </c>
      <c r="H22" s="44">
        <f t="shared" si="0"/>
        <v>27</v>
      </c>
      <c r="I22" s="44">
        <f t="shared" si="1"/>
        <v>23</v>
      </c>
      <c r="J22" s="44">
        <f t="shared" si="2"/>
        <v>48.6</v>
      </c>
      <c r="K22" s="44">
        <f t="shared" si="3"/>
        <v>3402</v>
      </c>
      <c r="L22" s="44">
        <f t="shared" si="4"/>
        <v>3598</v>
      </c>
      <c r="M22" s="44">
        <f t="shared" si="5"/>
        <v>183708</v>
      </c>
      <c r="N22" s="44">
        <f t="shared" si="6"/>
        <v>194292</v>
      </c>
      <c r="O22" s="44">
        <f t="shared" si="7"/>
        <v>378000</v>
      </c>
    </row>
    <row r="23" spans="2:16" s="22" customFormat="1" x14ac:dyDescent="0.3">
      <c r="B23" s="45" t="s">
        <v>47</v>
      </c>
      <c r="C23" s="86">
        <v>30</v>
      </c>
      <c r="D23" s="23">
        <v>1997</v>
      </c>
      <c r="E23" s="23">
        <v>2024</v>
      </c>
      <c r="F23" s="44">
        <v>50</v>
      </c>
      <c r="G23" s="44">
        <v>10000</v>
      </c>
      <c r="H23" s="44">
        <f t="shared" si="0"/>
        <v>27</v>
      </c>
      <c r="I23" s="44">
        <f t="shared" si="1"/>
        <v>23</v>
      </c>
      <c r="J23" s="44">
        <f t="shared" si="2"/>
        <v>48.6</v>
      </c>
      <c r="K23" s="44">
        <f t="shared" si="3"/>
        <v>4860</v>
      </c>
      <c r="L23" s="44">
        <f t="shared" si="4"/>
        <v>5140</v>
      </c>
      <c r="M23" s="44">
        <f t="shared" si="5"/>
        <v>145800</v>
      </c>
      <c r="N23" s="44">
        <f t="shared" si="6"/>
        <v>154200</v>
      </c>
      <c r="O23" s="44">
        <f t="shared" si="7"/>
        <v>300000</v>
      </c>
    </row>
    <row r="24" spans="2:16" s="22" customFormat="1" x14ac:dyDescent="0.3">
      <c r="B24" s="45" t="s">
        <v>48</v>
      </c>
      <c r="C24" s="86">
        <v>12.6</v>
      </c>
      <c r="D24" s="23">
        <v>1997</v>
      </c>
      <c r="E24" s="23">
        <v>2024</v>
      </c>
      <c r="F24" s="44">
        <v>50</v>
      </c>
      <c r="G24" s="44">
        <v>7000</v>
      </c>
      <c r="H24" s="44">
        <f t="shared" si="0"/>
        <v>27</v>
      </c>
      <c r="I24" s="44">
        <f t="shared" si="1"/>
        <v>23</v>
      </c>
      <c r="J24" s="44">
        <f t="shared" si="2"/>
        <v>48.6</v>
      </c>
      <c r="K24" s="44">
        <f t="shared" si="3"/>
        <v>3402</v>
      </c>
      <c r="L24" s="44">
        <f t="shared" si="4"/>
        <v>3598</v>
      </c>
      <c r="M24" s="44">
        <f t="shared" si="5"/>
        <v>42865</v>
      </c>
      <c r="N24" s="44">
        <f t="shared" si="6"/>
        <v>45335</v>
      </c>
      <c r="O24" s="44">
        <f t="shared" si="7"/>
        <v>88200</v>
      </c>
    </row>
    <row r="25" spans="2:16" s="22" customFormat="1" x14ac:dyDescent="0.3">
      <c r="B25" s="45" t="s">
        <v>49</v>
      </c>
      <c r="C25" s="86">
        <v>5.58</v>
      </c>
      <c r="D25" s="23">
        <v>1997</v>
      </c>
      <c r="E25" s="23">
        <v>2024</v>
      </c>
      <c r="F25" s="44">
        <v>50</v>
      </c>
      <c r="G25" s="44">
        <v>7000</v>
      </c>
      <c r="H25" s="44">
        <f t="shared" si="0"/>
        <v>27</v>
      </c>
      <c r="I25" s="44">
        <f t="shared" si="1"/>
        <v>23</v>
      </c>
      <c r="J25" s="44">
        <f t="shared" si="2"/>
        <v>48.6</v>
      </c>
      <c r="K25" s="44">
        <f t="shared" si="3"/>
        <v>3402</v>
      </c>
      <c r="L25" s="44">
        <f t="shared" si="4"/>
        <v>3598</v>
      </c>
      <c r="M25" s="44">
        <f t="shared" si="5"/>
        <v>18983</v>
      </c>
      <c r="N25" s="44">
        <f t="shared" si="6"/>
        <v>20077</v>
      </c>
      <c r="O25" s="44">
        <f t="shared" si="7"/>
        <v>39060</v>
      </c>
    </row>
    <row r="26" spans="2:16" s="22" customFormat="1" x14ac:dyDescent="0.3">
      <c r="B26" s="45" t="s">
        <v>50</v>
      </c>
      <c r="C26" s="86"/>
      <c r="D26" s="23"/>
      <c r="E26" s="23"/>
      <c r="F26" s="44"/>
      <c r="G26" s="44"/>
      <c r="H26" s="44"/>
      <c r="I26" s="44"/>
      <c r="J26" s="44">
        <f t="shared" si="2"/>
        <v>0</v>
      </c>
      <c r="K26" s="44">
        <f t="shared" si="3"/>
        <v>0</v>
      </c>
      <c r="L26" s="44">
        <f t="shared" si="4"/>
        <v>0</v>
      </c>
      <c r="M26" s="44">
        <f t="shared" si="5"/>
        <v>0</v>
      </c>
      <c r="N26" s="44">
        <f t="shared" si="6"/>
        <v>0</v>
      </c>
      <c r="O26" s="44">
        <f t="shared" si="7"/>
        <v>0</v>
      </c>
    </row>
    <row r="27" spans="2:16" s="22" customFormat="1" x14ac:dyDescent="0.3">
      <c r="B27" s="45"/>
      <c r="C27" s="86"/>
      <c r="D27" s="23"/>
      <c r="E27" s="23"/>
      <c r="F27" s="44"/>
      <c r="G27" s="44"/>
      <c r="H27" s="44">
        <f t="shared" ref="H27" si="8">E27-D27</f>
        <v>0</v>
      </c>
      <c r="I27" s="44">
        <f t="shared" ref="I27" si="9">F27-H27</f>
        <v>0</v>
      </c>
      <c r="J27" s="44">
        <f t="shared" si="2"/>
        <v>0</v>
      </c>
      <c r="K27" s="44">
        <f t="shared" si="3"/>
        <v>0</v>
      </c>
      <c r="L27" s="44">
        <f t="shared" si="4"/>
        <v>0</v>
      </c>
      <c r="M27" s="44">
        <f t="shared" si="5"/>
        <v>0</v>
      </c>
      <c r="N27" s="44">
        <f t="shared" si="6"/>
        <v>0</v>
      </c>
      <c r="O27" s="44">
        <f t="shared" si="7"/>
        <v>0</v>
      </c>
    </row>
    <row r="28" spans="2:16" s="26" customFormat="1" x14ac:dyDescent="0.3">
      <c r="B28" s="25" t="s">
        <v>33</v>
      </c>
      <c r="C28" s="57">
        <f>SUM(C16:C27)</f>
        <v>4043.4799999999996</v>
      </c>
      <c r="D28" s="45"/>
      <c r="E28" s="23"/>
      <c r="F28" s="44"/>
      <c r="G28" s="44"/>
      <c r="H28" s="44"/>
      <c r="I28" s="44"/>
      <c r="J28" s="44"/>
      <c r="K28" s="44">
        <f t="shared" si="3"/>
        <v>0</v>
      </c>
      <c r="L28" s="44">
        <f t="shared" si="4"/>
        <v>0</v>
      </c>
      <c r="M28" s="84">
        <f ca="1">SUM(M27:M28)</f>
        <v>11913106</v>
      </c>
      <c r="N28" s="84">
        <f>SUM(N16:N27)</f>
        <v>23108962</v>
      </c>
      <c r="O28" s="84">
        <f>SUM(O16:O27)</f>
        <v>44959070</v>
      </c>
      <c r="P28" s="76"/>
    </row>
    <row r="29" spans="2:16" s="26" customFormat="1" ht="18.75" customHeight="1" x14ac:dyDescent="0.3">
      <c r="B29" s="47"/>
      <c r="C29" s="58"/>
      <c r="D29" s="48"/>
      <c r="E29" s="48">
        <v>292.43</v>
      </c>
      <c r="F29" s="49">
        <f>C28-E29</f>
        <v>3751.0499999999997</v>
      </c>
      <c r="G29" s="50"/>
      <c r="H29" s="51"/>
      <c r="I29" s="51"/>
      <c r="J29" s="51"/>
      <c r="K29" s="51"/>
      <c r="L29" s="51"/>
    </row>
    <row r="30" spans="2:16" x14ac:dyDescent="0.3">
      <c r="B30" s="91" t="s">
        <v>23</v>
      </c>
      <c r="C30" s="91"/>
      <c r="D30" s="24"/>
      <c r="E30" s="24"/>
      <c r="G30" s="71"/>
      <c r="H30" s="29">
        <f>1500000/F29</f>
        <v>399.88803135122168</v>
      </c>
      <c r="I30" s="1"/>
      <c r="J30" s="1"/>
      <c r="L30" s="1"/>
      <c r="N30" s="1"/>
      <c r="O30" s="1"/>
      <c r="P30" s="19"/>
    </row>
    <row r="31" spans="2:16" x14ac:dyDescent="0.3">
      <c r="B31" s="12" t="s">
        <v>24</v>
      </c>
      <c r="C31" s="72"/>
      <c r="D31" s="24"/>
      <c r="E31" s="4"/>
      <c r="F31" s="71"/>
      <c r="H31" s="85"/>
      <c r="I31" s="1"/>
      <c r="J31" s="1"/>
      <c r="L31" s="1"/>
      <c r="M31" s="79"/>
      <c r="N31" s="79"/>
      <c r="O31" s="1"/>
      <c r="P31" s="19"/>
    </row>
    <row r="32" spans="2:16" x14ac:dyDescent="0.3">
      <c r="B32" s="13" t="s">
        <v>5</v>
      </c>
      <c r="C32" s="73"/>
      <c r="D32" s="24"/>
      <c r="E32" s="24"/>
      <c r="G32" s="29"/>
      <c r="H32" s="29"/>
      <c r="I32" s="26"/>
      <c r="J32" s="26"/>
      <c r="K32" s="26"/>
      <c r="L32" s="26"/>
      <c r="N32" s="78"/>
      <c r="O32" s="1"/>
    </row>
    <row r="33" spans="2:16" x14ac:dyDescent="0.3">
      <c r="B33" s="13" t="s">
        <v>6</v>
      </c>
      <c r="C33" s="72">
        <f>ROUND((C31*C32),0)</f>
        <v>0</v>
      </c>
      <c r="D33" s="24"/>
      <c r="E33" s="82"/>
      <c r="G33" s="29"/>
      <c r="H33" s="29"/>
      <c r="I33" s="1"/>
      <c r="J33" s="1"/>
      <c r="L33" s="19"/>
      <c r="M33" s="19"/>
      <c r="N33" s="19">
        <f>N28*0.85</f>
        <v>19642617.699999999</v>
      </c>
      <c r="O33" s="1"/>
    </row>
    <row r="34" spans="2:16" x14ac:dyDescent="0.3">
      <c r="B34" s="27"/>
      <c r="C34" s="59"/>
      <c r="D34" s="24"/>
      <c r="E34" s="46"/>
      <c r="G34" s="80"/>
      <c r="H34" s="80"/>
      <c r="I34" s="1"/>
      <c r="J34" s="26"/>
      <c r="K34" s="26"/>
      <c r="L34" s="1"/>
      <c r="N34" s="1"/>
      <c r="O34" s="1"/>
    </row>
    <row r="35" spans="2:16" ht="16.5" customHeight="1" x14ac:dyDescent="0.3">
      <c r="B35" s="92" t="s">
        <v>13</v>
      </c>
      <c r="C35" s="93"/>
      <c r="D35" s="24"/>
      <c r="E35" s="28"/>
      <c r="F35" s="11"/>
      <c r="G35" s="68"/>
      <c r="H35" s="67"/>
      <c r="I35" s="1"/>
      <c r="J35" s="1"/>
      <c r="L35" s="1"/>
      <c r="M35" s="77"/>
      <c r="N35" s="1"/>
      <c r="O35" s="1"/>
    </row>
    <row r="36" spans="2:16" x14ac:dyDescent="0.3">
      <c r="B36" s="12" t="s">
        <v>9</v>
      </c>
      <c r="C36" s="54">
        <v>3751.05</v>
      </c>
      <c r="D36" s="30"/>
      <c r="E36" s="4"/>
      <c r="F36" s="11"/>
      <c r="H36" s="1"/>
      <c r="I36" s="1"/>
      <c r="J36" s="1"/>
      <c r="L36" s="1"/>
      <c r="M36" s="77"/>
      <c r="N36" s="1"/>
      <c r="O36" s="1"/>
    </row>
    <row r="37" spans="2:16" x14ac:dyDescent="0.3">
      <c r="B37" s="13" t="s">
        <v>5</v>
      </c>
      <c r="C37" s="87">
        <v>400</v>
      </c>
      <c r="D37" s="17"/>
      <c r="E37" s="4"/>
      <c r="H37" s="1"/>
      <c r="I37" s="1"/>
      <c r="J37" s="1"/>
      <c r="L37" s="1"/>
      <c r="N37" s="1"/>
      <c r="O37" s="1"/>
    </row>
    <row r="38" spans="2:16" x14ac:dyDescent="0.3">
      <c r="B38" s="13" t="s">
        <v>6</v>
      </c>
      <c r="C38" s="88">
        <f>MROUND(C36*C37,10000)</f>
        <v>1500000</v>
      </c>
      <c r="D38" s="5"/>
      <c r="E38" s="4"/>
      <c r="H38" s="1"/>
      <c r="I38" s="1"/>
      <c r="J38" s="1"/>
      <c r="L38" s="1"/>
      <c r="M38" s="26"/>
      <c r="O38" s="1"/>
    </row>
    <row r="39" spans="2:16" x14ac:dyDescent="0.3">
      <c r="C39" s="60"/>
      <c r="D39" s="5"/>
      <c r="E39" s="5"/>
      <c r="G39" s="11"/>
      <c r="I39" s="7"/>
      <c r="J39" s="7"/>
      <c r="M39" s="77"/>
      <c r="N39" s="1"/>
    </row>
    <row r="40" spans="2:16" x14ac:dyDescent="0.3">
      <c r="B40" s="94" t="s">
        <v>53</v>
      </c>
      <c r="C40" s="95"/>
      <c r="D40" s="11"/>
      <c r="E40" s="4"/>
      <c r="F40" s="7"/>
      <c r="G40" s="7"/>
      <c r="H40" s="1"/>
      <c r="J40" s="11"/>
      <c r="K40" s="4"/>
      <c r="M40" s="26"/>
      <c r="O40" s="1"/>
    </row>
    <row r="41" spans="2:16" x14ac:dyDescent="0.3">
      <c r="B41" s="31" t="s">
        <v>11</v>
      </c>
      <c r="C41" s="88">
        <f>C11</f>
        <v>69343000</v>
      </c>
      <c r="D41" s="9"/>
      <c r="E41" s="9"/>
      <c r="F41" s="10"/>
      <c r="G41" s="10"/>
      <c r="H41" s="1"/>
      <c r="J41" s="8"/>
      <c r="K41" s="4"/>
      <c r="M41" s="77"/>
      <c r="N41" s="1"/>
      <c r="O41" s="1"/>
    </row>
    <row r="42" spans="2:16" x14ac:dyDescent="0.3">
      <c r="B42" s="31" t="s">
        <v>12</v>
      </c>
      <c r="C42" s="88">
        <f>N28</f>
        <v>23108962</v>
      </c>
      <c r="D42" s="9"/>
      <c r="E42" s="9"/>
      <c r="F42" s="75"/>
      <c r="J42" s="10"/>
      <c r="K42" s="4"/>
      <c r="M42" s="77"/>
      <c r="N42" s="1"/>
      <c r="P42" s="4"/>
    </row>
    <row r="43" spans="2:16" x14ac:dyDescent="0.3">
      <c r="B43" s="31" t="s">
        <v>25</v>
      </c>
      <c r="C43" s="88"/>
      <c r="D43" s="9"/>
      <c r="E43" s="9"/>
      <c r="F43" s="10"/>
      <c r="G43" s="10"/>
      <c r="J43" s="10"/>
      <c r="K43" s="4"/>
      <c r="M43" s="77"/>
      <c r="N43" s="1"/>
      <c r="O43" s="1"/>
    </row>
    <row r="44" spans="2:16" x14ac:dyDescent="0.3">
      <c r="B44" s="31" t="s">
        <v>10</v>
      </c>
      <c r="C44" s="88">
        <f>C38</f>
        <v>1500000</v>
      </c>
      <c r="D44" s="9"/>
      <c r="E44" s="9"/>
      <c r="F44" s="10"/>
      <c r="G44" s="10"/>
      <c r="H44" s="1"/>
      <c r="J44" s="10"/>
      <c r="K44" s="4"/>
      <c r="M44" s="4"/>
      <c r="N44" s="1"/>
      <c r="O44" s="1"/>
    </row>
    <row r="45" spans="2:16" x14ac:dyDescent="0.3">
      <c r="B45" s="32" t="s">
        <v>29</v>
      </c>
      <c r="C45" s="89">
        <f>C41+C42+C43+C44</f>
        <v>93951962</v>
      </c>
      <c r="D45" s="8"/>
      <c r="E45" s="4"/>
      <c r="F45" s="15"/>
      <c r="G45" s="4" t="s">
        <v>30</v>
      </c>
      <c r="J45" s="1"/>
      <c r="K45" s="4"/>
      <c r="M45" s="4"/>
      <c r="N45" s="1"/>
      <c r="O45" s="1"/>
    </row>
    <row r="46" spans="2:16" x14ac:dyDescent="0.3">
      <c r="B46" s="32" t="s">
        <v>7</v>
      </c>
      <c r="C46" s="89">
        <f>ROUND(C45*0.9,0)</f>
        <v>84556766</v>
      </c>
      <c r="D46" s="8"/>
      <c r="E46" s="4"/>
      <c r="J46" s="1"/>
      <c r="K46" s="4"/>
      <c r="M46" s="4"/>
      <c r="N46" s="1"/>
      <c r="O46" s="1"/>
    </row>
    <row r="47" spans="2:16" x14ac:dyDescent="0.3">
      <c r="B47" s="32" t="s">
        <v>8</v>
      </c>
      <c r="C47" s="89">
        <f>MROUND(C45*80%,1)</f>
        <v>75161570</v>
      </c>
      <c r="D47" s="8"/>
      <c r="E47" s="4"/>
      <c r="F47" s="15"/>
      <c r="G47" s="15"/>
      <c r="J47" s="1"/>
      <c r="K47" s="4"/>
      <c r="M47" s="4"/>
      <c r="N47" s="1"/>
      <c r="O47" s="1"/>
    </row>
    <row r="48" spans="2:16" x14ac:dyDescent="0.3">
      <c r="B48" s="32" t="s">
        <v>26</v>
      </c>
      <c r="C48" s="89">
        <f>C42*85%</f>
        <v>19642617.699999999</v>
      </c>
      <c r="D48" s="4"/>
      <c r="E48" s="4"/>
      <c r="F48" s="4"/>
      <c r="J48" s="1"/>
      <c r="K48" s="4"/>
      <c r="M48" s="33"/>
      <c r="N48" s="1"/>
      <c r="O48" s="1"/>
    </row>
    <row r="49" spans="2:15" x14ac:dyDescent="0.3">
      <c r="B49" s="31" t="s">
        <v>27</v>
      </c>
      <c r="C49" s="89"/>
      <c r="D49" s="4"/>
      <c r="E49" s="4"/>
      <c r="F49" s="4"/>
      <c r="J49" s="1"/>
      <c r="K49" s="4"/>
      <c r="M49" s="33"/>
      <c r="N49" s="1"/>
      <c r="O49" s="1"/>
    </row>
    <row r="50" spans="2:15" x14ac:dyDescent="0.3">
      <c r="B50" s="1"/>
      <c r="F50" s="75"/>
    </row>
    <row r="51" spans="2:15" x14ac:dyDescent="0.3">
      <c r="B51" s="1"/>
      <c r="F51" s="75"/>
      <c r="M51" s="34"/>
    </row>
    <row r="52" spans="2:15" x14ac:dyDescent="0.3">
      <c r="B52" s="1"/>
      <c r="M52" s="34"/>
    </row>
    <row r="53" spans="2:15" x14ac:dyDescent="0.3">
      <c r="B53" s="1"/>
      <c r="M53" s="34"/>
    </row>
    <row r="54" spans="2:15" x14ac:dyDescent="0.3">
      <c r="B54" s="1"/>
      <c r="M54" s="34"/>
    </row>
    <row r="55" spans="2:15" x14ac:dyDescent="0.3">
      <c r="B55" s="1"/>
      <c r="M55" s="34"/>
    </row>
    <row r="56" spans="2:15" ht="16.5" customHeight="1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</row>
    <row r="59" spans="2:15" x14ac:dyDescent="0.3">
      <c r="B59" s="1"/>
    </row>
    <row r="60" spans="2:15" x14ac:dyDescent="0.3">
      <c r="B60" s="1"/>
      <c r="C60" s="52"/>
    </row>
    <row r="61" spans="2:15" x14ac:dyDescent="0.3">
      <c r="B61" s="1"/>
      <c r="C61" s="52"/>
    </row>
    <row r="62" spans="2:15" x14ac:dyDescent="0.3">
      <c r="B62" s="1"/>
      <c r="C62" s="52"/>
    </row>
    <row r="63" spans="2:15" x14ac:dyDescent="0.3">
      <c r="B63" s="1"/>
    </row>
    <row r="64" spans="2:15" x14ac:dyDescent="0.3">
      <c r="B64" s="1"/>
      <c r="C64" s="52"/>
    </row>
    <row r="65" spans="2:11" x14ac:dyDescent="0.3">
      <c r="B65" s="1"/>
      <c r="C65" s="52"/>
      <c r="F65" s="15"/>
      <c r="G65" s="15"/>
    </row>
    <row r="66" spans="2:11" x14ac:dyDescent="0.3">
      <c r="B66" s="1"/>
      <c r="C66" s="52"/>
    </row>
    <row r="67" spans="2:11" x14ac:dyDescent="0.3">
      <c r="B67" s="1"/>
      <c r="C67" s="52"/>
    </row>
    <row r="68" spans="2:11" x14ac:dyDescent="0.3">
      <c r="B68" s="1"/>
      <c r="C68" s="52"/>
    </row>
    <row r="69" spans="2:11" x14ac:dyDescent="0.3">
      <c r="B69" s="1"/>
      <c r="C69" s="52"/>
      <c r="G69" s="35"/>
      <c r="H69" s="35"/>
      <c r="I69" s="35"/>
      <c r="J69" s="35"/>
      <c r="K69" s="6"/>
    </row>
    <row r="70" spans="2:11" x14ac:dyDescent="0.3">
      <c r="B70" s="1"/>
      <c r="C70" s="52"/>
      <c r="G70" s="33"/>
      <c r="H70" s="1"/>
      <c r="I70" s="33"/>
      <c r="J70" s="33"/>
    </row>
    <row r="71" spans="2:11" x14ac:dyDescent="0.3">
      <c r="B71" s="1"/>
      <c r="C71" s="52"/>
      <c r="G71" s="33"/>
      <c r="H71" s="33"/>
      <c r="I71" s="43"/>
      <c r="J71" s="43"/>
    </row>
    <row r="72" spans="2:11" x14ac:dyDescent="0.3">
      <c r="B72" s="1"/>
      <c r="C72" s="52"/>
      <c r="G72" s="33"/>
      <c r="H72" s="33"/>
      <c r="I72" s="33"/>
      <c r="J72" s="33"/>
    </row>
    <row r="73" spans="2:11" x14ac:dyDescent="0.3">
      <c r="B73" s="1"/>
      <c r="C73" s="52"/>
      <c r="G73" s="33"/>
      <c r="H73" s="36"/>
      <c r="I73" s="33"/>
      <c r="J73" s="33"/>
    </row>
    <row r="74" spans="2:11" x14ac:dyDescent="0.3">
      <c r="B74" s="1"/>
      <c r="C74" s="52"/>
      <c r="G74" s="33"/>
      <c r="H74" s="33"/>
      <c r="I74" s="33"/>
      <c r="J74" s="33"/>
    </row>
    <row r="75" spans="2:11" x14ac:dyDescent="0.3">
      <c r="B75" s="1"/>
      <c r="C75" s="52"/>
      <c r="G75" s="33"/>
      <c r="H75" s="33"/>
      <c r="I75" s="33"/>
      <c r="J75" s="33"/>
    </row>
    <row r="76" spans="2:11" x14ac:dyDescent="0.3">
      <c r="B76" s="1"/>
      <c r="C76" s="52"/>
      <c r="G76" s="33"/>
      <c r="H76" s="33"/>
      <c r="I76" s="33"/>
      <c r="J76" s="33"/>
    </row>
    <row r="77" spans="2:11" x14ac:dyDescent="0.3">
      <c r="B77" s="1"/>
      <c r="C77" s="52"/>
      <c r="G77" s="33"/>
      <c r="H77" s="33"/>
      <c r="I77" s="33"/>
      <c r="J77" s="33"/>
    </row>
    <row r="78" spans="2:11" x14ac:dyDescent="0.3">
      <c r="B78" s="1"/>
      <c r="C78" s="52"/>
      <c r="G78" s="33"/>
      <c r="H78" s="33"/>
      <c r="I78" s="33"/>
      <c r="J78" s="33"/>
    </row>
    <row r="79" spans="2:11" x14ac:dyDescent="0.3">
      <c r="B79" s="1"/>
      <c r="C79" s="52"/>
      <c r="G79" s="33"/>
      <c r="H79" s="33"/>
      <c r="I79" s="33"/>
      <c r="J79" s="33"/>
    </row>
    <row r="80" spans="2:11" x14ac:dyDescent="0.3">
      <c r="B80" s="1"/>
      <c r="C80" s="52"/>
    </row>
    <row r="81" spans="2:7" x14ac:dyDescent="0.3">
      <c r="B81" s="1"/>
      <c r="C81" s="52"/>
    </row>
    <row r="82" spans="2:7" x14ac:dyDescent="0.3">
      <c r="B82" s="1"/>
      <c r="C82" s="52"/>
    </row>
    <row r="83" spans="2:7" x14ac:dyDescent="0.3">
      <c r="B83" s="1"/>
      <c r="C83" s="52"/>
    </row>
    <row r="84" spans="2:7" x14ac:dyDescent="0.3">
      <c r="B84" s="1"/>
      <c r="C84" s="52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  <c r="G87" s="37"/>
    </row>
    <row r="88" spans="2:7" x14ac:dyDescent="0.3">
      <c r="B88" s="1"/>
      <c r="C88" s="52"/>
      <c r="G88" s="37"/>
    </row>
    <row r="89" spans="2:7" x14ac:dyDescent="0.3">
      <c r="B89" s="1"/>
      <c r="C89" s="52"/>
      <c r="G89" s="37"/>
    </row>
    <row r="90" spans="2:7" x14ac:dyDescent="0.3">
      <c r="B90" s="1"/>
      <c r="C90" s="52"/>
      <c r="G90" s="37"/>
    </row>
    <row r="91" spans="2:7" x14ac:dyDescent="0.3">
      <c r="B91" s="1"/>
      <c r="C91" s="52"/>
      <c r="G91" s="37"/>
    </row>
    <row r="92" spans="2:7" x14ac:dyDescent="0.3">
      <c r="B92" s="1"/>
      <c r="C92" s="52"/>
      <c r="G92" s="37"/>
    </row>
    <row r="93" spans="2:7" x14ac:dyDescent="0.3">
      <c r="B93" s="1"/>
      <c r="C93" s="52"/>
      <c r="G93" s="37"/>
    </row>
    <row r="94" spans="2:7" x14ac:dyDescent="0.3">
      <c r="B94" s="1"/>
      <c r="C94" s="52"/>
      <c r="G94" s="37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>
        <f>3350000/300</f>
        <v>11166.666666666666</v>
      </c>
      <c r="C97" s="52"/>
    </row>
    <row r="98" spans="2:3" x14ac:dyDescent="0.3">
      <c r="B98" s="1">
        <f>B97/10.764</f>
        <v>1037.4086461042982</v>
      </c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/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>
        <f>1969*10.764</f>
        <v>21194.315999999999</v>
      </c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  <row r="178" spans="2:3" x14ac:dyDescent="0.3">
      <c r="B178" s="1"/>
      <c r="C178" s="52"/>
    </row>
    <row r="179" spans="2:3" x14ac:dyDescent="0.3">
      <c r="B179" s="1"/>
      <c r="C179" s="52"/>
    </row>
    <row r="180" spans="2:3" x14ac:dyDescent="0.3">
      <c r="B180" s="1"/>
      <c r="C180" s="52"/>
    </row>
    <row r="181" spans="2:3" x14ac:dyDescent="0.3">
      <c r="B181" s="1"/>
      <c r="C181" s="52"/>
    </row>
    <row r="182" spans="2:3" x14ac:dyDescent="0.3">
      <c r="B182" s="1"/>
      <c r="C182" s="52"/>
    </row>
    <row r="183" spans="2:3" x14ac:dyDescent="0.3">
      <c r="B183" s="1"/>
      <c r="C183" s="52"/>
    </row>
    <row r="184" spans="2:3" x14ac:dyDescent="0.3">
      <c r="B184" s="1"/>
      <c r="C184" s="52"/>
    </row>
    <row r="185" spans="2:3" x14ac:dyDescent="0.3">
      <c r="B185" s="1"/>
      <c r="C185" s="52"/>
    </row>
  </sheetData>
  <mergeCells count="6">
    <mergeCell ref="B40:C40"/>
    <mergeCell ref="B3:G3"/>
    <mergeCell ref="B4:G4"/>
    <mergeCell ref="B13:C13"/>
    <mergeCell ref="B30:C30"/>
    <mergeCell ref="B35:C35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M12:AB14"/>
  <sheetViews>
    <sheetView workbookViewId="0">
      <selection activeCell="M14" sqref="M14"/>
    </sheetView>
  </sheetViews>
  <sheetFormatPr defaultRowHeight="15" x14ac:dyDescent="0.25"/>
  <sheetData>
    <row r="12" spans="13:28" x14ac:dyDescent="0.25">
      <c r="AA12" s="81">
        <f>6000000/260.22</f>
        <v>23057.412958266079</v>
      </c>
      <c r="AB12" s="81" t="s">
        <v>35</v>
      </c>
    </row>
    <row r="14" spans="13:28" x14ac:dyDescent="0.25">
      <c r="M14" s="81">
        <f>2000000/195.17</f>
        <v>10247.476558897371</v>
      </c>
      <c r="N14" s="81" t="s">
        <v>35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M13:N14"/>
  <sheetViews>
    <sheetView workbookViewId="0">
      <selection activeCell="Q20" sqref="Q20"/>
    </sheetView>
  </sheetViews>
  <sheetFormatPr defaultRowHeight="15" x14ac:dyDescent="0.25"/>
  <cols>
    <col min="12" max="12" width="13" customWidth="1"/>
  </cols>
  <sheetData>
    <row r="13" spans="13:14" x14ac:dyDescent="0.25">
      <c r="M13">
        <f>5600000/4000</f>
        <v>1400</v>
      </c>
      <c r="N13" t="s">
        <v>51</v>
      </c>
    </row>
    <row r="14" spans="13:14" x14ac:dyDescent="0.25">
      <c r="M14" s="81">
        <f>M13*10.764</f>
        <v>15069.599999999999</v>
      </c>
      <c r="N14" s="81" t="s">
        <v>35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17"/>
  <sheetViews>
    <sheetView workbookViewId="0">
      <selection activeCell="P25" sqref="P25"/>
    </sheetView>
  </sheetViews>
  <sheetFormatPr defaultRowHeight="15" x14ac:dyDescent="0.25"/>
  <sheetData>
    <row r="17" spans="16:17" x14ac:dyDescent="0.25">
      <c r="P17" s="81"/>
      <c r="Q17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O18" sqref="O18"/>
    </sheetView>
  </sheetViews>
  <sheetFormatPr defaultRowHeight="15" x14ac:dyDescent="0.25"/>
  <sheetData>
    <row r="18" spans="15:16" x14ac:dyDescent="0.25">
      <c r="O18" s="81"/>
      <c r="P18" s="81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P21" sqref="P21"/>
    </sheetView>
  </sheetViews>
  <sheetFormatPr defaultRowHeight="15" x14ac:dyDescent="0.25"/>
  <sheetData>
    <row r="15" spans="15:16" x14ac:dyDescent="0.25">
      <c r="O15" s="81">
        <f>15000000/557</f>
        <v>26929.982046678637</v>
      </c>
      <c r="P15" s="81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Valuation </vt:lpstr>
      <vt:lpstr>Final</vt:lpstr>
      <vt:lpstr>Final (2)</vt:lpstr>
      <vt:lpstr>Final (3)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2024-10-03T06:40:55Z</dcterms:modified>
</cp:coreProperties>
</file>