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Making Cases\Focus Jeans India Pvt. Ltd - Bhiwandi\"/>
    </mc:Choice>
  </mc:AlternateContent>
  <xr:revisionPtr revIDLastSave="0" documentId="13_ncr:1_{7729F189-E08C-47C5-A9A6-B52BA2B36460}" xr6:coauthVersionLast="47" xr6:coauthVersionMax="47" xr10:uidLastSave="{00000000-0000-0000-0000-000000000000}"/>
  <bookViews>
    <workbookView xWindow="-120" yWindow="-120" windowWidth="29040" windowHeight="15720" activeTab="9" xr2:uid="{00000000-000D-0000-FFFF-FFFF00000000}"/>
  </bookViews>
  <sheets>
    <sheet name="Valuation" sheetId="2" r:id="rId1"/>
    <sheet name="Sheet13" sheetId="15" r:id="rId2"/>
    <sheet name="Sheet1" sheetId="3" r:id="rId3"/>
    <sheet name="Sheet2" sheetId="4" r:id="rId4"/>
    <sheet name="Sheet3" sheetId="5" r:id="rId5"/>
    <sheet name="Sheet4" sheetId="6" r:id="rId6"/>
    <sheet name="Sheet5" sheetId="7" r:id="rId7"/>
    <sheet name="Sheet7" sheetId="9" r:id="rId8"/>
    <sheet name="Sheet8" sheetId="10" r:id="rId9"/>
    <sheet name="Sheet9" sheetId="11" r:id="rId10"/>
    <sheet name="Sheet10" sheetId="12" r:id="rId11"/>
    <sheet name="Sheet11" sheetId="13" r:id="rId12"/>
    <sheet name="Sheet12" sheetId="14" r:id="rId13"/>
    <sheet name="Sheet14" sheetId="16" r:id="rId14"/>
  </sheets>
  <calcPr calcId="191029"/>
</workbook>
</file>

<file path=xl/calcChain.xml><?xml version="1.0" encoding="utf-8"?>
<calcChain xmlns="http://schemas.openxmlformats.org/spreadsheetml/2006/main">
  <c r="H54" i="15" l="1"/>
  <c r="G54" i="15"/>
  <c r="M39" i="15"/>
  <c r="M38" i="15"/>
  <c r="H50" i="15"/>
  <c r="H49" i="15"/>
  <c r="H48" i="15"/>
  <c r="I44" i="2"/>
  <c r="I43" i="2"/>
  <c r="I42" i="2"/>
  <c r="K59" i="2"/>
  <c r="K58" i="2"/>
  <c r="K57" i="2"/>
  <c r="O17" i="16"/>
  <c r="P17" i="16" s="1"/>
  <c r="C17" i="16" s="1"/>
  <c r="E17" i="16" s="1"/>
  <c r="N17" i="16"/>
  <c r="G17" i="16"/>
  <c r="F17" i="16"/>
  <c r="D17" i="16"/>
  <c r="B17" i="16"/>
  <c r="A17" i="16"/>
  <c r="N16" i="16"/>
  <c r="O16" i="16" s="1"/>
  <c r="P16" i="16" s="1"/>
  <c r="C16" i="16" s="1"/>
  <c r="G16" i="16"/>
  <c r="F16" i="16"/>
  <c r="D16" i="16"/>
  <c r="B16" i="16"/>
  <c r="A16" i="16"/>
  <c r="O15" i="16"/>
  <c r="P15" i="16" s="1"/>
  <c r="C15" i="16" s="1"/>
  <c r="E15" i="16" s="1"/>
  <c r="N15" i="16"/>
  <c r="G15" i="16"/>
  <c r="F15" i="16"/>
  <c r="D15" i="16"/>
  <c r="B15" i="16"/>
  <c r="A15" i="16"/>
  <c r="N14" i="16"/>
  <c r="O14" i="16" s="1"/>
  <c r="P14" i="16" s="1"/>
  <c r="C14" i="16" s="1"/>
  <c r="G14" i="16"/>
  <c r="F14" i="16"/>
  <c r="D14" i="16"/>
  <c r="B14" i="16"/>
  <c r="A14" i="16"/>
  <c r="O13" i="16"/>
  <c r="P13" i="16" s="1"/>
  <c r="C13" i="16" s="1"/>
  <c r="E13" i="16" s="1"/>
  <c r="N13" i="16"/>
  <c r="G13" i="16"/>
  <c r="F13" i="16"/>
  <c r="D13" i="16"/>
  <c r="B13" i="16"/>
  <c r="A13" i="16"/>
  <c r="N12" i="16"/>
  <c r="O12" i="16" s="1"/>
  <c r="P12" i="16" s="1"/>
  <c r="C12" i="16" s="1"/>
  <c r="G12" i="16"/>
  <c r="F12" i="16"/>
  <c r="D12" i="16"/>
  <c r="E12" i="16" s="1"/>
  <c r="B12" i="16"/>
  <c r="A12" i="16"/>
  <c r="O11" i="16"/>
  <c r="P11" i="16" s="1"/>
  <c r="C11" i="16" s="1"/>
  <c r="E11" i="16" s="1"/>
  <c r="N11" i="16"/>
  <c r="G11" i="16"/>
  <c r="F11" i="16"/>
  <c r="D11" i="16"/>
  <c r="B11" i="16"/>
  <c r="A11" i="16"/>
  <c r="O10" i="16"/>
  <c r="P10" i="16" s="1"/>
  <c r="C10" i="16" s="1"/>
  <c r="G10" i="16"/>
  <c r="F10" i="16"/>
  <c r="D10" i="16"/>
  <c r="B10" i="16"/>
  <c r="A10" i="16"/>
  <c r="O9" i="16"/>
  <c r="P9" i="16" s="1"/>
  <c r="C9" i="16" s="1"/>
  <c r="G9" i="16"/>
  <c r="F9" i="16"/>
  <c r="D9" i="16"/>
  <c r="B9" i="16"/>
  <c r="A9" i="16"/>
  <c r="O8" i="16"/>
  <c r="P8" i="16" s="1"/>
  <c r="C8" i="16" s="1"/>
  <c r="G8" i="16"/>
  <c r="F8" i="16"/>
  <c r="D8" i="16"/>
  <c r="B8" i="16"/>
  <c r="A8" i="16"/>
  <c r="P7" i="16"/>
  <c r="C7" i="16" s="1"/>
  <c r="E7" i="16" s="1"/>
  <c r="O7" i="16"/>
  <c r="G7" i="16"/>
  <c r="F7" i="16"/>
  <c r="D7" i="16"/>
  <c r="B7" i="16"/>
  <c r="A7" i="16"/>
  <c r="O6" i="16"/>
  <c r="P6" i="16" s="1"/>
  <c r="C6" i="16" s="1"/>
  <c r="G6" i="16"/>
  <c r="F6" i="16"/>
  <c r="D6" i="16"/>
  <c r="B6" i="16"/>
  <c r="A6" i="16"/>
  <c r="P5" i="16"/>
  <c r="N5" i="16"/>
  <c r="G5" i="16"/>
  <c r="F5" i="16"/>
  <c r="D5" i="16"/>
  <c r="E5" i="16" s="1"/>
  <c r="C5" i="16"/>
  <c r="B5" i="16"/>
  <c r="A5" i="16"/>
  <c r="O4" i="16"/>
  <c r="P4" i="16" s="1"/>
  <c r="C4" i="16" s="1"/>
  <c r="G4" i="16"/>
  <c r="F4" i="16"/>
  <c r="D4" i="16"/>
  <c r="E4" i="16" s="1"/>
  <c r="B4" i="16"/>
  <c r="A4" i="16"/>
  <c r="P3" i="16"/>
  <c r="C3" i="16" s="1"/>
  <c r="E3" i="16" s="1"/>
  <c r="O3" i="16"/>
  <c r="G3" i="16"/>
  <c r="F3" i="16"/>
  <c r="D3" i="16"/>
  <c r="B3" i="16"/>
  <c r="A3" i="16"/>
  <c r="P2" i="16"/>
  <c r="N2" i="16"/>
  <c r="G2" i="16"/>
  <c r="F2" i="16"/>
  <c r="D2" i="16"/>
  <c r="E2" i="16" s="1"/>
  <c r="C2" i="16"/>
  <c r="B2" i="16"/>
  <c r="A2" i="16"/>
  <c r="F1" i="16"/>
  <c r="L37" i="15"/>
  <c r="M36" i="15"/>
  <c r="M35" i="15"/>
  <c r="M37" i="15" s="1"/>
  <c r="H35" i="15"/>
  <c r="G35" i="15"/>
  <c r="H34" i="15"/>
  <c r="H33" i="15"/>
  <c r="J29" i="15"/>
  <c r="K29" i="15" s="1"/>
  <c r="K28" i="15"/>
  <c r="K27" i="15"/>
  <c r="C26" i="15"/>
  <c r="C32" i="15" s="1"/>
  <c r="G21" i="15"/>
  <c r="C21" i="15"/>
  <c r="C31" i="15" s="1"/>
  <c r="C16" i="15"/>
  <c r="O15" i="15"/>
  <c r="J15" i="15"/>
  <c r="K15" i="15" s="1"/>
  <c r="L15" i="15" s="1"/>
  <c r="N15" i="15" s="1"/>
  <c r="H15" i="15"/>
  <c r="I15" i="15" s="1"/>
  <c r="O14" i="15"/>
  <c r="J14" i="15"/>
  <c r="K14" i="15" s="1"/>
  <c r="L14" i="15" s="1"/>
  <c r="N14" i="15" s="1"/>
  <c r="H14" i="15"/>
  <c r="I14" i="15" s="1"/>
  <c r="O13" i="15"/>
  <c r="J13" i="15"/>
  <c r="K13" i="15" s="1"/>
  <c r="L13" i="15" s="1"/>
  <c r="N13" i="15" s="1"/>
  <c r="H13" i="15"/>
  <c r="I13" i="15" s="1"/>
  <c r="O12" i="15"/>
  <c r="M12" i="15" s="1"/>
  <c r="J12" i="15"/>
  <c r="K12" i="15" s="1"/>
  <c r="L12" i="15" s="1"/>
  <c r="N12" i="15" s="1"/>
  <c r="H12" i="15"/>
  <c r="I12" i="15" s="1"/>
  <c r="O11" i="15"/>
  <c r="J11" i="15"/>
  <c r="K11" i="15" s="1"/>
  <c r="L11" i="15" s="1"/>
  <c r="N11" i="15" s="1"/>
  <c r="H11" i="15"/>
  <c r="I11" i="15" s="1"/>
  <c r="O10" i="15"/>
  <c r="J10" i="15"/>
  <c r="K10" i="15" s="1"/>
  <c r="L10" i="15" s="1"/>
  <c r="N10" i="15" s="1"/>
  <c r="H10" i="15"/>
  <c r="I10" i="15" s="1"/>
  <c r="O9" i="15"/>
  <c r="J9" i="15"/>
  <c r="K9" i="15" s="1"/>
  <c r="L9" i="15" s="1"/>
  <c r="N9" i="15" s="1"/>
  <c r="H9" i="15"/>
  <c r="I9" i="15" s="1"/>
  <c r="O8" i="15"/>
  <c r="M8" i="15" s="1"/>
  <c r="J8" i="15"/>
  <c r="K8" i="15" s="1"/>
  <c r="L8" i="15" s="1"/>
  <c r="N8" i="15" s="1"/>
  <c r="H8" i="15"/>
  <c r="I8" i="15" s="1"/>
  <c r="C4" i="15"/>
  <c r="C29" i="15" s="1"/>
  <c r="I3" i="15"/>
  <c r="K2" i="15" s="1"/>
  <c r="J2" i="15"/>
  <c r="F2" i="15"/>
  <c r="O9" i="2"/>
  <c r="H9" i="2"/>
  <c r="J9" i="2" s="1"/>
  <c r="K9" i="2" s="1"/>
  <c r="L9" i="2" s="1"/>
  <c r="N9" i="2" s="1"/>
  <c r="M9" i="2" s="1"/>
  <c r="C16" i="2"/>
  <c r="L37" i="2"/>
  <c r="E9" i="16" l="1"/>
  <c r="E14" i="16"/>
  <c r="E6" i="16"/>
  <c r="E16" i="16"/>
  <c r="E8" i="16"/>
  <c r="E10" i="16"/>
  <c r="M11" i="15"/>
  <c r="M15" i="15"/>
  <c r="M10" i="15"/>
  <c r="M14" i="15"/>
  <c r="L2" i="15"/>
  <c r="N16" i="15"/>
  <c r="M9" i="15"/>
  <c r="M16" i="15" s="1"/>
  <c r="M13" i="15"/>
  <c r="O16" i="15"/>
  <c r="I9" i="2"/>
  <c r="L3" i="15" l="1"/>
  <c r="C30" i="15"/>
  <c r="L4" i="15"/>
  <c r="G35" i="2"/>
  <c r="H35" i="2" s="1"/>
  <c r="H34" i="2"/>
  <c r="H33" i="2"/>
  <c r="C36" i="15" l="1"/>
  <c r="C33" i="15"/>
  <c r="C34" i="15" l="1"/>
  <c r="P4" i="15"/>
  <c r="R4" i="15" s="1"/>
  <c r="P2" i="15"/>
  <c r="R2" i="15" s="1"/>
  <c r="P3" i="15"/>
  <c r="R3" i="15" s="1"/>
  <c r="C35" i="15"/>
  <c r="M36" i="2" l="1"/>
  <c r="M35" i="2"/>
  <c r="U13" i="4"/>
  <c r="T13" i="4"/>
  <c r="Q7" i="3"/>
  <c r="G21" i="2"/>
  <c r="K29" i="2"/>
  <c r="K28" i="2"/>
  <c r="K27" i="2"/>
  <c r="J29" i="2"/>
  <c r="F2" i="2"/>
  <c r="I3" i="2"/>
  <c r="K2" i="2" s="1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M37" i="2" l="1"/>
  <c r="M8" i="2"/>
  <c r="I10" i="2"/>
  <c r="I11" i="2"/>
  <c r="I8" i="2"/>
  <c r="M10" i="2"/>
  <c r="M11" i="2"/>
  <c r="C26" i="2" l="1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N16" i="2" l="1"/>
  <c r="C30" i="2" s="1"/>
  <c r="C36" i="2" s="1"/>
  <c r="M12" i="2"/>
  <c r="M16" i="2" s="1"/>
  <c r="L3" i="2" l="1"/>
  <c r="L4" i="2" s="1"/>
  <c r="C33" i="2"/>
  <c r="C35" i="2" s="1"/>
  <c r="P3" i="2" l="1"/>
  <c r="P2" i="2"/>
  <c r="R2" i="2" s="1"/>
  <c r="C34" i="2"/>
  <c r="P4" i="2"/>
  <c r="R4" i="2" s="1"/>
  <c r="R3" i="2" l="1"/>
</calcChain>
</file>

<file path=xl/sharedStrings.xml><?xml version="1.0" encoding="utf-8"?>
<sst xmlns="http://schemas.openxmlformats.org/spreadsheetml/2006/main" count="204" uniqueCount="69">
  <si>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</si>
  <si>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</si>
  <si>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</si>
  <si>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</si>
  <si>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</si>
  <si>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</si>
  <si>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</si>
  <si>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</si>
  <si>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</si>
  <si>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</si>
  <si>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</si>
  <si>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</si>
  <si>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</si>
  <si>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</si>
  <si>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</si>
  <si>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</si>
  <si>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</si>
  <si>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</si>
  <si>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</si>
  <si>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</si>
  <si>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Government value</t>
  </si>
  <si>
    <t>Depreciation</t>
  </si>
  <si>
    <t>Particulars</t>
  </si>
  <si>
    <t>Balance Life of Structures in Years</t>
  </si>
  <si>
    <t xml:space="preserve">Built Up Area </t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</si>
  <si>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</si>
  <si>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</si>
  <si>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</si>
  <si>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</si>
  <si>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</si>
  <si>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</si>
  <si>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</si>
  <si>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</si>
  <si>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Estimated Replacement Cost</t>
  </si>
  <si>
    <t xml:space="preserve">Depreciated Replacement Cost </t>
  </si>
  <si>
    <t xml:space="preserve">Depreciated Replacement Value </t>
  </si>
  <si>
    <t>Replacement Value</t>
  </si>
  <si>
    <r>
      <t>Insurable value (Depreciated Replacement Value (</t>
    </r>
    <r>
      <rPr>
        <b/>
        <sz val="11"/>
        <color theme="1"/>
        <rFont val="Rupee Foradian"/>
        <family val="2"/>
      </rPr>
      <t xml:space="preserve">` </t>
    </r>
    <r>
      <rPr>
        <b/>
        <sz val="11"/>
        <color theme="1"/>
        <rFont val="Arial Narrow"/>
        <family val="2"/>
      </rPr>
      <t>3,34,62,049.00) - Subsoil Structure Cost (15%)</t>
    </r>
  </si>
  <si>
    <t>Age Of Build</t>
  </si>
  <si>
    <t>(Years)</t>
  </si>
  <si>
    <r>
      <t>(</t>
    </r>
    <r>
      <rPr>
        <b/>
        <sz val="10.5"/>
        <rFont val="Rupee Foradian"/>
        <family val="2"/>
      </rPr>
      <t>`</t>
    </r>
    <r>
      <rPr>
        <b/>
        <sz val="10.5"/>
        <rFont val="Calibri"/>
        <family val="2"/>
      </rPr>
      <t>)</t>
    </r>
  </si>
  <si>
    <r>
      <t>(</t>
    </r>
    <r>
      <rPr>
        <b/>
        <sz val="10.5"/>
        <color rgb="FFFF0000"/>
        <rFont val="Rupee Foradian"/>
        <family val="2"/>
      </rPr>
      <t>`</t>
    </r>
    <r>
      <rPr>
        <b/>
        <sz val="10.5"/>
        <color rgb="FFFF0000"/>
        <rFont val="Calibri"/>
        <family val="2"/>
      </rPr>
      <t>)</t>
    </r>
  </si>
  <si>
    <t>Fair Market Value</t>
  </si>
  <si>
    <t>Built up area in Sq. M.</t>
  </si>
  <si>
    <t>Built up area in Sq. Ft.</t>
  </si>
  <si>
    <t>Ground Floor</t>
  </si>
  <si>
    <t>First Floor</t>
  </si>
  <si>
    <t>Total</t>
  </si>
  <si>
    <t>(Sq. Ft.)</t>
  </si>
  <si>
    <t>g.f.</t>
  </si>
  <si>
    <t>f.f.</t>
  </si>
  <si>
    <t>Sr. No.</t>
  </si>
  <si>
    <t>Date</t>
  </si>
  <si>
    <t>Floor</t>
  </si>
  <si>
    <t xml:space="preserve">Flat / Office / Shop No. </t>
  </si>
  <si>
    <t>Carpet area in Sq. M.</t>
  </si>
  <si>
    <t>Carpet area in Sq. fT.</t>
  </si>
  <si>
    <t xml:space="preserve">Area in Sq. m. </t>
  </si>
  <si>
    <t>G</t>
  </si>
  <si>
    <t>e</t>
  </si>
  <si>
    <t>F</t>
  </si>
  <si>
    <t>Built Up Area</t>
  </si>
  <si>
    <t>in Sq. Ft.</t>
  </si>
  <si>
    <t xml:space="preserve">Estimated Replacement Rate </t>
  </si>
  <si>
    <r>
      <t xml:space="preserve">in </t>
    </r>
    <r>
      <rPr>
        <b/>
        <sz val="12"/>
        <color theme="1"/>
        <rFont val="Rupee Foradian"/>
        <family val="2"/>
      </rPr>
      <t>`</t>
    </r>
  </si>
  <si>
    <t>Cost of Construction</t>
  </si>
  <si>
    <t>Depreciation Rate</t>
  </si>
  <si>
    <t>Depreciation Amount</t>
  </si>
  <si>
    <t>Prevailing market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</si>
</sst>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Rupee Foradian"/>
      <family val="2"/>
    </font>
    <font>
      <b/>
      <sz val="10.5"/>
      <color theme="1"/>
      <name val="Arial Narrow"/>
      <family val="2"/>
    </font>
    <font>
      <b/>
      <sz val="10.5"/>
      <color rgb="FFFF0000"/>
      <name val="Arial Narrow"/>
      <family val="2"/>
    </font>
    <font>
      <b/>
      <sz val="10.5"/>
      <name val="Arial Narrow"/>
      <family val="2"/>
    </font>
    <font>
      <b/>
      <sz val="10.5"/>
      <color rgb="FFFF0000"/>
      <name val="Calibri"/>
      <family val="2"/>
    </font>
    <font>
      <b/>
      <sz val="10.5"/>
      <name val="Calibri"/>
      <family val="2"/>
    </font>
    <font>
      <b/>
      <sz val="10.5"/>
      <name val="Rupee Foradian"/>
      <family val="2"/>
    </font>
    <font>
      <b/>
      <sz val="10.5"/>
      <color rgb="FFFF0000"/>
      <name val="Rupee Foradian"/>
      <family val="2"/>
    </font>
    <font>
      <sz val="10.5"/>
      <color theme="1"/>
      <name val="Arial Narrow"/>
      <family val="2"/>
    </font>
    <font>
      <sz val="10.5"/>
      <color rgb="FF000000"/>
      <name val="Arial Narrow"/>
      <family val="2"/>
    </font>
    <font>
      <sz val="10.5"/>
      <name val="Arial Narrow"/>
      <family val="2"/>
    </font>
    <font>
      <sz val="10.5"/>
      <color rgb="FFFF0000"/>
      <name val="Arial Narrow"/>
      <family val="2"/>
    </font>
    <font>
      <sz val="11"/>
      <color rgb="FFFF00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Rupee Foradian"/>
      <family val="2"/>
    </font>
    <font>
      <sz val="12"/>
      <color theme="1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9" fillId="0" borderId="0" applyFont="0" applyFill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0" borderId="1" xfId="0" applyFont="1" applyBorder="1"/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0" fontId="3" fillId="0" borderId="0" xfId="0" applyFont="1" applyAlignment="1">
      <alignment horizont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8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3" fontId="6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3" fillId="0" borderId="1" xfId="0" applyNumberFormat="1" applyFont="1" applyBorder="1"/>
    <xf numFmtId="3" fontId="6" fillId="0" borderId="1" xfId="0" applyNumberFormat="1" applyFont="1" applyBorder="1"/>
    <xf numFmtId="0" fontId="5" fillId="0" borderId="0" xfId="0" applyFont="1"/>
    <xf numFmtId="3" fontId="5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7" fillId="0" borderId="0" xfId="0" applyNumberFormat="1" applyFont="1" applyAlignment="1">
      <alignment vertical="top"/>
    </xf>
    <xf numFmtId="164" fontId="3" fillId="0" borderId="0" xfId="1" applyNumberFormat="1" applyFont="1" applyAlignment="1">
      <alignment vertical="top"/>
    </xf>
    <xf numFmtId="0" fontId="12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 shrinkToFit="1"/>
    </xf>
    <xf numFmtId="0" fontId="14" fillId="0" borderId="1" xfId="0" applyFont="1" applyBorder="1" applyAlignment="1">
      <alignment horizontal="center"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 shrinkToFit="1"/>
    </xf>
    <xf numFmtId="0" fontId="18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4" fontId="18" fillId="0" borderId="1" xfId="0" applyNumberFormat="1" applyFont="1" applyBorder="1" applyAlignment="1">
      <alignment horizontal="right" vertical="top" wrapText="1"/>
    </xf>
    <xf numFmtId="0" fontId="20" fillId="0" borderId="1" xfId="0" applyFont="1" applyBorder="1" applyAlignment="1">
      <alignment horizontal="right" vertical="top" wrapText="1"/>
    </xf>
    <xf numFmtId="3" fontId="19" fillId="0" borderId="1" xfId="0" applyNumberFormat="1" applyFont="1" applyBorder="1" applyAlignment="1">
      <alignment horizontal="right" vertical="top" wrapText="1"/>
    </xf>
    <xf numFmtId="3" fontId="21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horizontal="center"/>
    </xf>
    <xf numFmtId="0" fontId="20" fillId="0" borderId="1" xfId="0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wrapText="1"/>
    </xf>
    <xf numFmtId="3" fontId="21" fillId="0" borderId="1" xfId="0" applyNumberFormat="1" applyFont="1" applyBorder="1"/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/>
    </xf>
    <xf numFmtId="0" fontId="21" fillId="0" borderId="1" xfId="0" applyFont="1" applyBorder="1" applyAlignment="1">
      <alignment vertical="top"/>
    </xf>
    <xf numFmtId="3" fontId="18" fillId="0" borderId="1" xfId="0" applyNumberFormat="1" applyFont="1" applyBorder="1" applyAlignment="1">
      <alignment vertical="top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5" fillId="0" borderId="8" xfId="0" applyFont="1" applyBorder="1" applyAlignment="1">
      <alignment horizontal="justify" vertical="center" wrapText="1"/>
    </xf>
    <xf numFmtId="165" fontId="1" fillId="0" borderId="9" xfId="1" applyNumberFormat="1" applyFont="1" applyBorder="1" applyAlignment="1">
      <alignment horizontal="right" vertical="center" wrapText="1"/>
    </xf>
    <xf numFmtId="43" fontId="1" fillId="0" borderId="9" xfId="1" applyFont="1" applyBorder="1" applyAlignment="1">
      <alignment horizontal="justify" vertical="center" wrapText="1"/>
    </xf>
    <xf numFmtId="3" fontId="1" fillId="0" borderId="0" xfId="0" applyNumberFormat="1" applyFont="1" applyAlignment="1">
      <alignment vertical="top"/>
    </xf>
    <xf numFmtId="4" fontId="8" fillId="0" borderId="6" xfId="0" applyNumberFormat="1" applyFont="1" applyBorder="1" applyAlignment="1">
      <alignment horizontal="right" vertical="center" wrapText="1"/>
    </xf>
    <xf numFmtId="4" fontId="8" fillId="0" borderId="8" xfId="0" applyNumberFormat="1" applyFont="1" applyBorder="1" applyAlignment="1">
      <alignment horizontal="right" vertical="center" wrapText="1"/>
    </xf>
    <xf numFmtId="43" fontId="3" fillId="0" borderId="0" xfId="1" applyFont="1"/>
    <xf numFmtId="4" fontId="8" fillId="0" borderId="0" xfId="0" applyNumberFormat="1" applyFont="1" applyAlignment="1">
      <alignment horizontal="right" vertical="top" wrapText="1"/>
    </xf>
    <xf numFmtId="4" fontId="18" fillId="0" borderId="1" xfId="0" applyNumberFormat="1" applyFont="1" applyBorder="1" applyAlignment="1">
      <alignment vertical="top"/>
    </xf>
    <xf numFmtId="0" fontId="22" fillId="0" borderId="0" xfId="0" applyFont="1" applyAlignment="1">
      <alignment wrapText="1"/>
    </xf>
    <xf numFmtId="0" fontId="0" fillId="0" borderId="0" xfId="0" applyAlignment="1">
      <alignment wrapText="1"/>
    </xf>
    <xf numFmtId="0" fontId="22" fillId="0" borderId="0" xfId="0" applyFont="1"/>
    <xf numFmtId="0" fontId="0" fillId="0" borderId="0" xfId="0" applyAlignment="1">
      <alignment horizontal="right"/>
    </xf>
    <xf numFmtId="0" fontId="23" fillId="0" borderId="11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5" fillId="0" borderId="8" xfId="0" applyFont="1" applyBorder="1" applyAlignment="1">
      <alignment vertical="center" wrapText="1"/>
    </xf>
    <xf numFmtId="4" fontId="8" fillId="0" borderId="9" xfId="0" applyNumberFormat="1" applyFont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43" fontId="6" fillId="0" borderId="9" xfId="1" applyFont="1" applyBorder="1" applyAlignment="1">
      <alignment vertical="center" wrapText="1"/>
    </xf>
    <xf numFmtId="43" fontId="26" fillId="0" borderId="0" xfId="1" applyFont="1"/>
    <xf numFmtId="0" fontId="5" fillId="0" borderId="5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 wrapText="1"/>
    </xf>
    <xf numFmtId="43" fontId="1" fillId="0" borderId="9" xfId="1" applyFont="1" applyBorder="1" applyAlignment="1">
      <alignment vertical="center" wrapText="1"/>
    </xf>
    <xf numFmtId="43" fontId="5" fillId="0" borderId="9" xfId="1" applyFont="1" applyBorder="1" applyAlignment="1">
      <alignment vertical="center" wrapText="1"/>
    </xf>
    <xf numFmtId="43" fontId="3" fillId="0" borderId="0" xfId="0" applyNumberFormat="1" applyFont="1"/>
    <xf numFmtId="4" fontId="5" fillId="0" borderId="0" xfId="0" applyNumberFormat="1" applyFont="1"/>
    <xf numFmtId="4" fontId="27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B3457D-09E0-5FA0-73E8-AFB7DBDC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106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A4BB1-1D8D-444D-ED6F-D89A0782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B1396-CD0C-216C-80B5-F54ABA31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675680-B105-E235-2243-49710F7F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6306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1AB2AF-7BC6-E2DD-7DB9-3A1E0D466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74B9F-EE64-2B2E-E8FF-8E45BFF0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C69D1F-FD9D-8C21-BDA3-27F42608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61981-CAC6-8535-E83B-8EA38B0F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E2C81-55EA-8AFD-6CCA-47F5A032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B3D964-5D32-A738-0D3D-ECBEBD75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392205</xdr:colOff>
      <xdr:row>44</xdr:row>
      <xdr:rowOff>89647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4C0F04-C6D0-CAB7-9B8B-8EAB773A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84323" cy="84716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1"/>
  <sheetViews>
    <sheetView workbookViewId="0">
      <pane xSplit="2" ySplit="6" topLeftCell="C7" activePane="bottomRight" state="frozen"/>
      <selection activeCell="D39" sqref="D39"/>
      <selection pane="topRight" activeCell="D39" sqref="D39"/>
      <selection pane="bottomLeft" activeCell="D39" sqref="D39"/>
      <selection pane="bottomRight" activeCell="G8" activeCellId="1" sqref="C3 G8"/>
    </sheetView>
  </sheetViews>
  <sheetFormatPr defaultRowHeight="16.5" x14ac:dyDescent="0.3"/>
  <cols>
    <col min="1" max="1" width="9.140625" style="36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710937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4">
        <v>6085</v>
      </c>
      <c r="D2" s="5" t="s">
        <v>32</v>
      </c>
      <c r="E2" s="4">
        <v>0</v>
      </c>
      <c r="F2" s="4">
        <f>MROUND(E2*10.764,1)</f>
        <v>0</v>
      </c>
      <c r="G2" s="22"/>
      <c r="H2" s="1" t="s">
        <v>31</v>
      </c>
      <c r="I2" s="44">
        <v>0</v>
      </c>
      <c r="J2" s="44">
        <f>C2</f>
        <v>6085</v>
      </c>
      <c r="K2" s="44">
        <f>I3</f>
        <v>0</v>
      </c>
      <c r="L2" s="38">
        <f>J2*K2</f>
        <v>0</v>
      </c>
      <c r="O2" s="41" t="s">
        <v>27</v>
      </c>
      <c r="P2" s="42">
        <f>C33</f>
        <v>27382500</v>
      </c>
      <c r="R2" s="17">
        <f>P2*0.025/12</f>
        <v>57046.875</v>
      </c>
      <c r="S2" s="15" t="s">
        <v>26</v>
      </c>
    </row>
    <row r="3" spans="1:19" x14ac:dyDescent="0.3">
      <c r="B3" s="21" t="s">
        <v>5</v>
      </c>
      <c r="C3" s="15">
        <v>2800</v>
      </c>
      <c r="D3" s="12"/>
      <c r="E3" s="23"/>
      <c r="F3" s="23"/>
      <c r="G3" s="12"/>
      <c r="H3" s="1" t="s">
        <v>32</v>
      </c>
      <c r="I3" s="44">
        <f>MROUND(I2/10.764,1)</f>
        <v>0</v>
      </c>
      <c r="J3" s="44"/>
      <c r="K3" s="38"/>
      <c r="L3" s="38">
        <f>N16</f>
        <v>10344500</v>
      </c>
      <c r="O3" s="41" t="s">
        <v>27</v>
      </c>
      <c r="P3" s="42">
        <f>C33</f>
        <v>27382500</v>
      </c>
      <c r="Q3" s="5"/>
      <c r="R3" s="17">
        <f>P3*0.04/12</f>
        <v>91275</v>
      </c>
      <c r="S3" s="43" t="s">
        <v>28</v>
      </c>
    </row>
    <row r="4" spans="1:19" x14ac:dyDescent="0.3">
      <c r="B4" s="28" t="s">
        <v>14</v>
      </c>
      <c r="C4" s="38">
        <f>ROUND((C2*C3),0)</f>
        <v>17038000</v>
      </c>
      <c r="F4" s="19"/>
      <c r="G4" s="19"/>
      <c r="I4" s="38"/>
      <c r="J4" s="44"/>
      <c r="K4" s="38"/>
      <c r="L4" s="38">
        <f>SUM(L2:L3)</f>
        <v>10344500</v>
      </c>
      <c r="O4" s="41" t="s">
        <v>27</v>
      </c>
      <c r="P4" s="42">
        <f>C33</f>
        <v>27382500</v>
      </c>
      <c r="Q4" s="5"/>
      <c r="R4" s="17">
        <f>P4*0.033/12</f>
        <v>75301.875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49" t="s">
        <v>19</v>
      </c>
      <c r="B6" s="50" t="s">
        <v>22</v>
      </c>
      <c r="C6" s="50" t="s">
        <v>24</v>
      </c>
      <c r="D6" s="50" t="s">
        <v>0</v>
      </c>
      <c r="E6" s="50" t="s">
        <v>1</v>
      </c>
      <c r="F6" s="50" t="s">
        <v>2</v>
      </c>
      <c r="G6" s="50" t="s">
        <v>33</v>
      </c>
      <c r="H6" s="51" t="s">
        <v>38</v>
      </c>
      <c r="I6" s="51" t="s">
        <v>23</v>
      </c>
      <c r="J6" s="52" t="s">
        <v>3</v>
      </c>
      <c r="K6" s="52" t="s">
        <v>4</v>
      </c>
      <c r="L6" s="51" t="s">
        <v>34</v>
      </c>
      <c r="M6" s="53" t="s">
        <v>21</v>
      </c>
      <c r="N6" s="53" t="s">
        <v>35</v>
      </c>
      <c r="O6" s="53" t="s">
        <v>36</v>
      </c>
    </row>
    <row r="7" spans="1:19" s="3" customFormat="1" ht="15" thickBot="1" x14ac:dyDescent="0.25">
      <c r="A7" s="49"/>
      <c r="B7" s="50"/>
      <c r="C7" s="51" t="s">
        <v>48</v>
      </c>
      <c r="D7" s="50"/>
      <c r="E7" s="50"/>
      <c r="F7" s="50"/>
      <c r="G7" s="54" t="s">
        <v>40</v>
      </c>
      <c r="H7" s="48" t="s">
        <v>39</v>
      </c>
      <c r="I7" s="48" t="s">
        <v>39</v>
      </c>
      <c r="J7" s="52"/>
      <c r="K7" s="52"/>
      <c r="L7" s="52" t="s">
        <v>41</v>
      </c>
      <c r="M7" s="52" t="s">
        <v>41</v>
      </c>
      <c r="N7" s="52" t="s">
        <v>41</v>
      </c>
      <c r="O7" s="52" t="s">
        <v>41</v>
      </c>
    </row>
    <row r="8" spans="1:19" s="8" customFormat="1" ht="17.25" thickBot="1" x14ac:dyDescent="0.3">
      <c r="A8" s="55">
        <v>1</v>
      </c>
      <c r="B8" s="56" t="s">
        <v>45</v>
      </c>
      <c r="C8" s="76">
        <v>6085</v>
      </c>
      <c r="D8" s="58">
        <v>2014</v>
      </c>
      <c r="E8" s="58">
        <v>2024</v>
      </c>
      <c r="F8" s="58">
        <v>60</v>
      </c>
      <c r="G8" s="59">
        <v>2000</v>
      </c>
      <c r="H8" s="60">
        <f t="shared" ref="H8" si="0">E8-D8</f>
        <v>10</v>
      </c>
      <c r="I8" s="60">
        <f t="shared" ref="I8" si="1">F8-H8</f>
        <v>50</v>
      </c>
      <c r="J8" s="60">
        <f t="shared" ref="J8" si="2">IF(H8&gt;=5,90*H8/F8,0)</f>
        <v>15</v>
      </c>
      <c r="K8" s="60">
        <f t="shared" ref="K8" si="3">G8/100*J8</f>
        <v>300</v>
      </c>
      <c r="L8" s="60">
        <f t="shared" ref="L8" si="4">ROUND((G8-K8),0)</f>
        <v>1700</v>
      </c>
      <c r="M8" s="60">
        <f t="shared" ref="M8" si="5">O8-N8</f>
        <v>1825500</v>
      </c>
      <c r="N8" s="60">
        <f t="shared" ref="N8" si="6">ROUND((L8*C8),0)</f>
        <v>10344500</v>
      </c>
      <c r="O8" s="60">
        <f t="shared" ref="O8" si="7">ROUND((C8*G8),0)</f>
        <v>12170000</v>
      </c>
      <c r="Q8" s="75"/>
    </row>
    <row r="9" spans="1:19" s="8" customFormat="1" ht="17.25" thickBot="1" x14ac:dyDescent="0.3">
      <c r="A9" s="55">
        <v>2</v>
      </c>
      <c r="B9" s="56" t="s">
        <v>46</v>
      </c>
      <c r="C9" s="77">
        <v>0</v>
      </c>
      <c r="D9" s="58">
        <v>2014</v>
      </c>
      <c r="E9" s="58">
        <v>2024</v>
      </c>
      <c r="F9" s="58">
        <v>60</v>
      </c>
      <c r="G9" s="59">
        <v>2000</v>
      </c>
      <c r="H9" s="60">
        <f t="shared" ref="H9" si="8">E9-D9</f>
        <v>10</v>
      </c>
      <c r="I9" s="60">
        <f t="shared" ref="I9" si="9">F9-H9</f>
        <v>50</v>
      </c>
      <c r="J9" s="60">
        <f t="shared" ref="J9" si="10">IF(H9&gt;=5,90*H9/F9,0)</f>
        <v>15</v>
      </c>
      <c r="K9" s="60">
        <f t="shared" ref="K9" si="11">G9/100*J9</f>
        <v>300</v>
      </c>
      <c r="L9" s="60">
        <f t="shared" ref="L9" si="12">ROUND((G9-K9),0)</f>
        <v>1700</v>
      </c>
      <c r="M9" s="60">
        <f t="shared" ref="M9" si="13">O9-N9</f>
        <v>0</v>
      </c>
      <c r="N9" s="60">
        <f t="shared" ref="N9" si="14">ROUND((L9*C9),0)</f>
        <v>0</v>
      </c>
      <c r="O9" s="60">
        <f t="shared" ref="O9" si="15">ROUND((C9*G9),0)</f>
        <v>0</v>
      </c>
    </row>
    <row r="10" spans="1:19" s="8" customFormat="1" ht="17.25" customHeight="1" x14ac:dyDescent="0.25">
      <c r="A10" s="55">
        <v>3</v>
      </c>
      <c r="B10" s="56"/>
      <c r="C10" s="57">
        <v>0</v>
      </c>
      <c r="D10" s="58">
        <v>0</v>
      </c>
      <c r="E10" s="58">
        <v>0</v>
      </c>
      <c r="F10" s="58">
        <v>60</v>
      </c>
      <c r="G10" s="59">
        <v>0</v>
      </c>
      <c r="H10" s="60">
        <f t="shared" ref="H10:H11" si="16">E10-D10</f>
        <v>0</v>
      </c>
      <c r="I10" s="60">
        <f t="shared" ref="I10:I15" si="17">F10-H10</f>
        <v>60</v>
      </c>
      <c r="J10" s="60">
        <f t="shared" ref="J10:J11" si="18">IF(H10&gt;=5,90*H10/F10,0)</f>
        <v>0</v>
      </c>
      <c r="K10" s="60">
        <f t="shared" ref="K10:K11" si="19">G10/100*J10</f>
        <v>0</v>
      </c>
      <c r="L10" s="60">
        <f t="shared" ref="L10:L11" si="20">ROUND((G10-K10),0)</f>
        <v>0</v>
      </c>
      <c r="M10" s="60">
        <f t="shared" ref="M10:M11" si="21">O10-N10</f>
        <v>0</v>
      </c>
      <c r="N10" s="60">
        <f t="shared" ref="N10:N11" si="22">ROUND((L10*C10),0)</f>
        <v>0</v>
      </c>
      <c r="O10" s="60">
        <f t="shared" ref="O10:O11" si="23">ROUND((C10*G10),0)</f>
        <v>0</v>
      </c>
    </row>
    <row r="11" spans="1:19" s="8" customFormat="1" x14ac:dyDescent="0.25">
      <c r="A11" s="55">
        <v>4</v>
      </c>
      <c r="B11" s="56"/>
      <c r="C11" s="57">
        <v>0</v>
      </c>
      <c r="D11" s="58">
        <v>0</v>
      </c>
      <c r="E11" s="58">
        <v>0</v>
      </c>
      <c r="F11" s="58">
        <v>60</v>
      </c>
      <c r="G11" s="59">
        <v>0</v>
      </c>
      <c r="H11" s="60">
        <f t="shared" si="16"/>
        <v>0</v>
      </c>
      <c r="I11" s="60">
        <f t="shared" si="17"/>
        <v>60</v>
      </c>
      <c r="J11" s="60">
        <f t="shared" si="18"/>
        <v>0</v>
      </c>
      <c r="K11" s="60">
        <f t="shared" si="19"/>
        <v>0</v>
      </c>
      <c r="L11" s="60">
        <f t="shared" si="20"/>
        <v>0</v>
      </c>
      <c r="M11" s="60">
        <f t="shared" si="21"/>
        <v>0</v>
      </c>
      <c r="N11" s="60">
        <f t="shared" si="22"/>
        <v>0</v>
      </c>
      <c r="O11" s="60">
        <f t="shared" si="23"/>
        <v>0</v>
      </c>
    </row>
    <row r="12" spans="1:19" s="8" customFormat="1" x14ac:dyDescent="0.25">
      <c r="A12" s="55">
        <v>5</v>
      </c>
      <c r="B12" s="56"/>
      <c r="C12" s="57">
        <v>0</v>
      </c>
      <c r="D12" s="58">
        <v>0</v>
      </c>
      <c r="E12" s="58">
        <v>0</v>
      </c>
      <c r="F12" s="58">
        <v>60</v>
      </c>
      <c r="G12" s="59">
        <v>0</v>
      </c>
      <c r="H12" s="60">
        <f t="shared" ref="H12:H15" si="24">E12-D12</f>
        <v>0</v>
      </c>
      <c r="I12" s="60">
        <f t="shared" si="17"/>
        <v>60</v>
      </c>
      <c r="J12" s="60">
        <f t="shared" ref="J12:J15" si="25">IF(H12&gt;=5,90*H12/F12,0)</f>
        <v>0</v>
      </c>
      <c r="K12" s="60">
        <f t="shared" ref="K12:K15" si="26">G12/100*J12</f>
        <v>0</v>
      </c>
      <c r="L12" s="60">
        <f t="shared" ref="L12:L15" si="27">ROUND((G12-K12),0)</f>
        <v>0</v>
      </c>
      <c r="M12" s="60">
        <f t="shared" ref="M12:M15" si="28">O12-N12</f>
        <v>0</v>
      </c>
      <c r="N12" s="60">
        <f t="shared" ref="N12:N15" si="29">ROUND((L12*C12),0)</f>
        <v>0</v>
      </c>
      <c r="O12" s="60">
        <f t="shared" ref="O12:O15" si="30">ROUND((C12*G12),0)</f>
        <v>0</v>
      </c>
    </row>
    <row r="13" spans="1:19" x14ac:dyDescent="0.3">
      <c r="A13" s="61">
        <v>6</v>
      </c>
      <c r="B13" s="56"/>
      <c r="C13" s="57">
        <v>0</v>
      </c>
      <c r="D13" s="62">
        <v>0</v>
      </c>
      <c r="E13" s="62">
        <v>0</v>
      </c>
      <c r="F13" s="62">
        <v>60</v>
      </c>
      <c r="G13" s="63">
        <v>0</v>
      </c>
      <c r="H13" s="60">
        <f t="shared" si="24"/>
        <v>0</v>
      </c>
      <c r="I13" s="60">
        <f t="shared" si="17"/>
        <v>60</v>
      </c>
      <c r="J13" s="60">
        <f t="shared" si="25"/>
        <v>0</v>
      </c>
      <c r="K13" s="60">
        <f t="shared" si="26"/>
        <v>0</v>
      </c>
      <c r="L13" s="60">
        <f t="shared" si="27"/>
        <v>0</v>
      </c>
      <c r="M13" s="64">
        <f t="shared" si="28"/>
        <v>0</v>
      </c>
      <c r="N13" s="60">
        <f t="shared" si="29"/>
        <v>0</v>
      </c>
      <c r="O13" s="60">
        <f t="shared" si="30"/>
        <v>0</v>
      </c>
    </row>
    <row r="14" spans="1:19" x14ac:dyDescent="0.3">
      <c r="A14" s="61">
        <v>7</v>
      </c>
      <c r="B14" s="56"/>
      <c r="C14" s="57">
        <v>0</v>
      </c>
      <c r="D14" s="62">
        <v>0</v>
      </c>
      <c r="E14" s="62">
        <v>0</v>
      </c>
      <c r="F14" s="62">
        <v>60</v>
      </c>
      <c r="G14" s="63">
        <v>0</v>
      </c>
      <c r="H14" s="60">
        <f t="shared" si="24"/>
        <v>0</v>
      </c>
      <c r="I14" s="60">
        <f t="shared" si="17"/>
        <v>60</v>
      </c>
      <c r="J14" s="60">
        <f t="shared" si="25"/>
        <v>0</v>
      </c>
      <c r="K14" s="60">
        <f t="shared" si="26"/>
        <v>0</v>
      </c>
      <c r="L14" s="60">
        <f t="shared" si="27"/>
        <v>0</v>
      </c>
      <c r="M14" s="64">
        <f t="shared" si="28"/>
        <v>0</v>
      </c>
      <c r="N14" s="60">
        <f t="shared" si="29"/>
        <v>0</v>
      </c>
      <c r="O14" s="60">
        <f t="shared" si="30"/>
        <v>0</v>
      </c>
    </row>
    <row r="15" spans="1:19" x14ac:dyDescent="0.3">
      <c r="A15" s="61">
        <v>8</v>
      </c>
      <c r="B15" s="56"/>
      <c r="C15" s="57">
        <v>0</v>
      </c>
      <c r="D15" s="62">
        <v>0</v>
      </c>
      <c r="E15" s="62">
        <v>0</v>
      </c>
      <c r="F15" s="62">
        <v>60</v>
      </c>
      <c r="G15" s="63">
        <v>0</v>
      </c>
      <c r="H15" s="60">
        <f t="shared" si="24"/>
        <v>0</v>
      </c>
      <c r="I15" s="60">
        <f t="shared" si="17"/>
        <v>60</v>
      </c>
      <c r="J15" s="60">
        <f t="shared" si="25"/>
        <v>0</v>
      </c>
      <c r="K15" s="60">
        <f t="shared" si="26"/>
        <v>0</v>
      </c>
      <c r="L15" s="60">
        <f t="shared" si="27"/>
        <v>0</v>
      </c>
      <c r="M15" s="64">
        <f t="shared" si="28"/>
        <v>0</v>
      </c>
      <c r="N15" s="60">
        <f t="shared" si="29"/>
        <v>0</v>
      </c>
      <c r="O15" s="60">
        <f t="shared" si="30"/>
        <v>0</v>
      </c>
    </row>
    <row r="16" spans="1:19" x14ac:dyDescent="0.3">
      <c r="A16" s="61"/>
      <c r="B16" s="65"/>
      <c r="C16" s="80">
        <f>SUM(C8:C15)</f>
        <v>6085</v>
      </c>
      <c r="D16" s="66"/>
      <c r="E16" s="66"/>
      <c r="F16" s="67"/>
      <c r="G16" s="60"/>
      <c r="H16" s="60"/>
      <c r="I16" s="60"/>
      <c r="J16" s="68"/>
      <c r="K16" s="60"/>
      <c r="L16" s="68"/>
      <c r="M16" s="60">
        <f>SUM(M8:M15)</f>
        <v>1825500</v>
      </c>
      <c r="N16" s="60">
        <f>SUM(N8:N15)</f>
        <v>10344500</v>
      </c>
      <c r="O16" s="60">
        <f>SUM(O8:O15)</f>
        <v>12170000</v>
      </c>
    </row>
    <row r="17" spans="1:15" x14ac:dyDescent="0.3">
      <c r="B17" s="7"/>
      <c r="C17" s="8"/>
      <c r="D17" s="8"/>
      <c r="E17" s="8"/>
      <c r="F17" s="9"/>
      <c r="G17" s="9"/>
      <c r="H17" s="9"/>
      <c r="I17" s="9"/>
      <c r="J17" s="8"/>
      <c r="K17" s="13"/>
      <c r="L17" s="14"/>
      <c r="M17" s="9"/>
      <c r="N17" s="24"/>
      <c r="O17" s="24"/>
    </row>
    <row r="18" spans="1:15" x14ac:dyDescent="0.3">
      <c r="B18" s="94" t="s">
        <v>16</v>
      </c>
      <c r="C18" s="94"/>
      <c r="D18" s="8"/>
      <c r="E18" s="8"/>
      <c r="F18" s="9"/>
      <c r="G18" s="9"/>
      <c r="H18" s="9"/>
      <c r="I18" s="9"/>
      <c r="J18" s="8"/>
      <c r="K18" s="13"/>
      <c r="L18" s="14"/>
      <c r="M18" s="9"/>
      <c r="N18" s="24"/>
      <c r="O18" s="24"/>
    </row>
    <row r="19" spans="1:15" x14ac:dyDescent="0.3">
      <c r="B19" s="20" t="s">
        <v>15</v>
      </c>
      <c r="C19" s="40">
        <v>0</v>
      </c>
      <c r="D19" s="8"/>
      <c r="E19" s="8"/>
      <c r="F19" s="9"/>
      <c r="G19" s="9"/>
      <c r="H19" s="9"/>
      <c r="I19" s="9"/>
      <c r="J19" s="8"/>
      <c r="K19" s="13"/>
      <c r="L19" s="14"/>
      <c r="M19" s="9"/>
      <c r="N19" s="24"/>
      <c r="O19" s="24"/>
    </row>
    <row r="20" spans="1:15" x14ac:dyDescent="0.3">
      <c r="B20" s="21" t="s">
        <v>5</v>
      </c>
      <c r="C20" s="37">
        <v>0</v>
      </c>
      <c r="D20" s="8"/>
      <c r="E20" s="8"/>
      <c r="F20" s="9"/>
      <c r="G20" s="9"/>
      <c r="H20" s="9"/>
      <c r="I20" s="9"/>
      <c r="J20" s="8"/>
      <c r="K20" s="13"/>
      <c r="L20" s="14"/>
      <c r="M20" s="9"/>
      <c r="N20" s="24"/>
      <c r="O20" s="24"/>
    </row>
    <row r="21" spans="1:15" x14ac:dyDescent="0.3">
      <c r="B21" s="21" t="s">
        <v>6</v>
      </c>
      <c r="C21" s="39">
        <f>ROUND((C19*C20),0)</f>
        <v>0</v>
      </c>
      <c r="D21" s="8"/>
      <c r="E21" s="8"/>
      <c r="F21" s="9"/>
      <c r="G21" s="9">
        <f>5300-2000</f>
        <v>3300</v>
      </c>
      <c r="H21" s="9"/>
      <c r="I21" s="9"/>
      <c r="J21" s="8"/>
      <c r="K21" s="13"/>
      <c r="L21" s="14"/>
      <c r="M21" s="9"/>
      <c r="N21" s="24"/>
      <c r="O21" s="24"/>
    </row>
    <row r="22" spans="1:15" x14ac:dyDescent="0.3">
      <c r="B22" s="7"/>
      <c r="C22" s="8"/>
      <c r="D22" s="8"/>
      <c r="E22" s="8"/>
      <c r="F22" s="9"/>
      <c r="G22" s="9"/>
      <c r="H22" s="9"/>
      <c r="I22" s="9"/>
      <c r="J22" s="8"/>
      <c r="K22" s="13"/>
      <c r="L22" s="14"/>
      <c r="M22" s="9"/>
      <c r="N22" s="24"/>
      <c r="O22" s="24"/>
    </row>
    <row r="23" spans="1:15" ht="22.5" customHeight="1" x14ac:dyDescent="0.3">
      <c r="B23" s="95" t="s">
        <v>13</v>
      </c>
      <c r="C23" s="96"/>
      <c r="D23" s="8"/>
      <c r="E23" s="8"/>
      <c r="F23" s="9"/>
      <c r="G23" s="9"/>
      <c r="H23" s="9"/>
      <c r="I23" s="9"/>
      <c r="J23" s="8"/>
      <c r="K23" s="9"/>
      <c r="L23" s="8"/>
      <c r="M23" s="9"/>
      <c r="N23" s="9"/>
      <c r="O23" s="9"/>
    </row>
    <row r="24" spans="1:15" x14ac:dyDescent="0.3">
      <c r="B24" s="20" t="s">
        <v>9</v>
      </c>
      <c r="C24" s="40">
        <v>0</v>
      </c>
      <c r="E24" s="25"/>
      <c r="F24" s="25"/>
      <c r="G24" s="26"/>
      <c r="H24" s="11"/>
      <c r="I24" s="11"/>
      <c r="L24" s="18"/>
    </row>
    <row r="25" spans="1:15" ht="17.25" thickBot="1" x14ac:dyDescent="0.35">
      <c r="B25" s="21" t="s">
        <v>5</v>
      </c>
      <c r="C25" s="37">
        <v>0</v>
      </c>
      <c r="D25" s="27"/>
      <c r="E25" s="19"/>
      <c r="F25" s="19"/>
      <c r="G25" s="13"/>
      <c r="H25" s="11"/>
      <c r="I25" s="11"/>
      <c r="L25" s="18"/>
    </row>
    <row r="26" spans="1:15" ht="33.75" thickBot="1" x14ac:dyDescent="0.35">
      <c r="B26" s="21" t="s">
        <v>6</v>
      </c>
      <c r="C26" s="39">
        <f>ROUND((C24*C25),0)</f>
        <v>0</v>
      </c>
      <c r="D26" s="6"/>
      <c r="E26" s="6"/>
      <c r="F26" s="18"/>
      <c r="H26" s="11"/>
      <c r="I26" s="69" t="s">
        <v>22</v>
      </c>
      <c r="J26" s="70" t="s">
        <v>43</v>
      </c>
      <c r="K26" s="70" t="s">
        <v>44</v>
      </c>
      <c r="L26" s="18"/>
    </row>
    <row r="27" spans="1:15" ht="17.25" thickBot="1" x14ac:dyDescent="0.35">
      <c r="B27" s="36"/>
      <c r="C27" s="16"/>
      <c r="D27" s="6"/>
      <c r="E27" s="6"/>
      <c r="F27" s="18"/>
      <c r="H27" s="11"/>
      <c r="I27" s="71" t="s">
        <v>45</v>
      </c>
      <c r="J27" s="73">
        <v>602.22299999999996</v>
      </c>
      <c r="K27" s="74">
        <f>MROUND(J27*10.764,1)</f>
        <v>6482</v>
      </c>
      <c r="L27" s="18"/>
    </row>
    <row r="28" spans="1:15" ht="17.25" thickBot="1" x14ac:dyDescent="0.35">
      <c r="C28" s="6" t="s">
        <v>18</v>
      </c>
      <c r="D28" s="6"/>
      <c r="E28" s="6"/>
      <c r="F28" s="18"/>
      <c r="H28" s="11"/>
      <c r="I28" s="71" t="s">
        <v>46</v>
      </c>
      <c r="J28" s="73">
        <v>620.43600000000004</v>
      </c>
      <c r="K28" s="74">
        <f t="shared" ref="K28:K29" si="31">MROUND(J28*10.764,1)</f>
        <v>6678</v>
      </c>
      <c r="L28" s="18"/>
    </row>
    <row r="29" spans="1:15" ht="17.25" thickBot="1" x14ac:dyDescent="0.35">
      <c r="B29" s="2" t="s">
        <v>11</v>
      </c>
      <c r="C29" s="45">
        <f>C4</f>
        <v>17038000</v>
      </c>
      <c r="D29" s="16"/>
      <c r="E29" s="16"/>
      <c r="F29" s="16"/>
      <c r="G29" s="16"/>
      <c r="H29" s="17"/>
      <c r="I29" s="72" t="s">
        <v>47</v>
      </c>
      <c r="J29" s="73">
        <f>SUM(J27:J28)</f>
        <v>1222.6590000000001</v>
      </c>
      <c r="K29" s="74">
        <f t="shared" si="31"/>
        <v>13161</v>
      </c>
      <c r="L29" s="15"/>
    </row>
    <row r="30" spans="1:15" x14ac:dyDescent="0.3">
      <c r="B30" s="2" t="s">
        <v>12</v>
      </c>
      <c r="C30" s="45">
        <f>N16</f>
        <v>10344500</v>
      </c>
      <c r="D30" s="16"/>
      <c r="E30" s="16"/>
      <c r="F30" s="16"/>
      <c r="G30" s="16"/>
      <c r="H30" s="17"/>
      <c r="I30" s="17"/>
      <c r="L30" s="17"/>
    </row>
    <row r="31" spans="1:15" ht="17.25" thickBot="1" x14ac:dyDescent="0.35">
      <c r="B31" s="2" t="s">
        <v>17</v>
      </c>
      <c r="C31" s="45">
        <f>C21</f>
        <v>0</v>
      </c>
      <c r="D31" s="16"/>
      <c r="E31" s="16"/>
      <c r="F31" s="16"/>
      <c r="G31" s="16"/>
      <c r="H31" s="17"/>
      <c r="I31" s="17"/>
      <c r="L31" s="17"/>
    </row>
    <row r="32" spans="1:15" ht="33.75" thickBot="1" x14ac:dyDescent="0.35">
      <c r="A32" s="1"/>
      <c r="B32" s="2" t="s">
        <v>10</v>
      </c>
      <c r="C32" s="45">
        <f>C26</f>
        <v>0</v>
      </c>
      <c r="D32" s="16"/>
      <c r="E32" s="16"/>
      <c r="F32" s="69" t="s">
        <v>22</v>
      </c>
      <c r="G32" s="70" t="s">
        <v>43</v>
      </c>
      <c r="H32" s="70" t="s">
        <v>44</v>
      </c>
      <c r="I32" s="17"/>
      <c r="L32" s="17"/>
    </row>
    <row r="33" spans="1:15" ht="17.25" thickBot="1" x14ac:dyDescent="0.35">
      <c r="A33" s="1"/>
      <c r="B33" s="10" t="s">
        <v>42</v>
      </c>
      <c r="C33" s="46">
        <f>C29+C30+C31+C32</f>
        <v>27382500</v>
      </c>
      <c r="D33" s="15"/>
      <c r="F33" s="71" t="s">
        <v>45</v>
      </c>
      <c r="G33" s="73">
        <v>565.34</v>
      </c>
      <c r="H33" s="74">
        <f>MROUND(G33*10.764,1)</f>
        <v>6085</v>
      </c>
    </row>
    <row r="34" spans="1:15" ht="17.25" thickBot="1" x14ac:dyDescent="0.35">
      <c r="A34" s="1"/>
      <c r="B34" s="10" t="s">
        <v>7</v>
      </c>
      <c r="C34" s="46">
        <f>MROUND(C33*90%,1)</f>
        <v>24644250</v>
      </c>
      <c r="D34" s="17"/>
      <c r="F34" s="71" t="s">
        <v>46</v>
      </c>
      <c r="G34" s="73">
        <v>594.4</v>
      </c>
      <c r="H34" s="74">
        <f t="shared" ref="H34:H35" si="32">MROUND(G34*10.764,1)</f>
        <v>6398</v>
      </c>
      <c r="I34" s="29"/>
    </row>
    <row r="35" spans="1:15" ht="17.25" thickBot="1" x14ac:dyDescent="0.35">
      <c r="A35" s="1"/>
      <c r="B35" s="10" t="s">
        <v>8</v>
      </c>
      <c r="C35" s="46">
        <f>MROUND(C33*80%,1)</f>
        <v>21906000</v>
      </c>
      <c r="D35" s="17"/>
      <c r="F35" s="72" t="s">
        <v>47</v>
      </c>
      <c r="G35" s="73">
        <f>SUM(G33:G34)</f>
        <v>1159.74</v>
      </c>
      <c r="H35" s="74">
        <f t="shared" si="32"/>
        <v>12483</v>
      </c>
      <c r="I35" s="29"/>
      <c r="J35" s="1" t="s">
        <v>49</v>
      </c>
      <c r="K35" s="5">
        <v>4500</v>
      </c>
      <c r="L35" s="76">
        <v>6085</v>
      </c>
      <c r="M35" s="78">
        <f>K35*L35</f>
        <v>27382500</v>
      </c>
      <c r="O35" s="5">
        <v>2000</v>
      </c>
    </row>
    <row r="36" spans="1:15" s="8" customFormat="1" ht="17.25" thickBot="1" x14ac:dyDescent="0.35">
      <c r="B36" s="41" t="s">
        <v>37</v>
      </c>
      <c r="C36" s="47">
        <f>MROUND(C30*0.85,1)</f>
        <v>8792825</v>
      </c>
      <c r="D36" s="7"/>
      <c r="F36" s="9"/>
      <c r="G36" s="9"/>
      <c r="H36" s="9"/>
      <c r="I36" s="9"/>
      <c r="J36" s="8" t="s">
        <v>50</v>
      </c>
      <c r="K36" s="9">
        <v>3500</v>
      </c>
      <c r="L36" s="77">
        <v>6398</v>
      </c>
      <c r="M36" s="78">
        <f>K36*L36</f>
        <v>22393000</v>
      </c>
      <c r="N36" s="9"/>
      <c r="O36" s="30"/>
    </row>
    <row r="37" spans="1:15" x14ac:dyDescent="0.3">
      <c r="A37" s="1"/>
      <c r="L37" s="79">
        <f>SUM(L35:L36)</f>
        <v>12483</v>
      </c>
      <c r="M37" s="78">
        <f>SUM(M35:M36)</f>
        <v>49775500</v>
      </c>
      <c r="O37" s="30"/>
    </row>
    <row r="38" spans="1:15" x14ac:dyDescent="0.3">
      <c r="A38" s="1"/>
      <c r="L38" s="31"/>
      <c r="O38" s="30"/>
    </row>
    <row r="39" spans="1:15" ht="17.25" thickBot="1" x14ac:dyDescent="0.35">
      <c r="A39" s="1"/>
      <c r="H39" s="29"/>
      <c r="I39" s="29"/>
      <c r="L39" s="31"/>
      <c r="O39" s="30"/>
    </row>
    <row r="40" spans="1:15" ht="33" x14ac:dyDescent="0.3">
      <c r="A40" s="1"/>
      <c r="F40" s="97" t="s">
        <v>22</v>
      </c>
      <c r="G40" s="85" t="s">
        <v>61</v>
      </c>
      <c r="H40" s="87" t="s">
        <v>66</v>
      </c>
      <c r="I40" s="87" t="s">
        <v>67</v>
      </c>
      <c r="L40" s="31"/>
      <c r="O40" s="30"/>
    </row>
    <row r="41" spans="1:15" ht="17.25" thickBot="1" x14ac:dyDescent="0.35">
      <c r="A41" s="1"/>
      <c r="F41" s="98"/>
      <c r="G41" s="86" t="s">
        <v>62</v>
      </c>
      <c r="H41" s="86" t="s">
        <v>64</v>
      </c>
      <c r="I41" s="86" t="s">
        <v>64</v>
      </c>
      <c r="L41" s="31"/>
      <c r="O41" s="30"/>
    </row>
    <row r="42" spans="1:15" ht="17.25" thickBot="1" x14ac:dyDescent="0.35">
      <c r="A42" s="1"/>
      <c r="F42" s="99" t="s">
        <v>45</v>
      </c>
      <c r="G42" s="89">
        <v>6085</v>
      </c>
      <c r="H42" s="102">
        <v>300</v>
      </c>
      <c r="I42" s="103">
        <f>G42*H42</f>
        <v>1825500</v>
      </c>
      <c r="L42" s="31"/>
      <c r="O42" s="30"/>
    </row>
    <row r="43" spans="1:15" ht="17.25" thickBot="1" x14ac:dyDescent="0.35">
      <c r="A43" s="1"/>
      <c r="F43" s="99" t="s">
        <v>46</v>
      </c>
      <c r="G43" s="89">
        <v>6398</v>
      </c>
      <c r="H43" s="102">
        <v>300</v>
      </c>
      <c r="I43" s="103">
        <f t="shared" ref="I43" si="33">G43*H43</f>
        <v>1919400</v>
      </c>
      <c r="L43" s="31"/>
      <c r="O43" s="30"/>
    </row>
    <row r="44" spans="1:15" ht="17.25" thickBot="1" x14ac:dyDescent="0.35">
      <c r="A44" s="1"/>
      <c r="F44" s="91" t="s">
        <v>47</v>
      </c>
      <c r="G44" s="101">
        <v>12483</v>
      </c>
      <c r="H44" s="103"/>
      <c r="I44" s="104">
        <f>SUM(I42:I43)</f>
        <v>3744900</v>
      </c>
    </row>
    <row r="45" spans="1:15" x14ac:dyDescent="0.3">
      <c r="A45" s="1"/>
    </row>
    <row r="46" spans="1:15" x14ac:dyDescent="0.3">
      <c r="A46" s="1"/>
      <c r="B46" s="1"/>
    </row>
    <row r="47" spans="1:15" x14ac:dyDescent="0.3">
      <c r="A47" s="1"/>
      <c r="B47" s="1"/>
    </row>
    <row r="48" spans="1:15" x14ac:dyDescent="0.3">
      <c r="A48" s="1"/>
      <c r="B48" s="1"/>
    </row>
    <row r="49" spans="1:11" x14ac:dyDescent="0.3">
      <c r="A49" s="1"/>
      <c r="B49" s="1"/>
    </row>
    <row r="50" spans="1:11" x14ac:dyDescent="0.3">
      <c r="A50" s="1"/>
      <c r="B50" s="1"/>
    </row>
    <row r="51" spans="1:11" x14ac:dyDescent="0.3">
      <c r="A51" s="1"/>
      <c r="B51" s="1"/>
    </row>
    <row r="52" spans="1:11" x14ac:dyDescent="0.3">
      <c r="A52" s="1"/>
      <c r="B52" s="1"/>
    </row>
    <row r="53" spans="1:11" x14ac:dyDescent="0.3">
      <c r="A53" s="1"/>
      <c r="B53" s="1"/>
    </row>
    <row r="54" spans="1:11" ht="17.25" thickBot="1" x14ac:dyDescent="0.35">
      <c r="A54" s="1"/>
      <c r="B54" s="1"/>
    </row>
    <row r="55" spans="1:11" ht="47.25" x14ac:dyDescent="0.3">
      <c r="A55" s="1"/>
      <c r="B55" s="1"/>
      <c r="F55" s="32"/>
      <c r="G55" s="32"/>
      <c r="H55" s="97" t="s">
        <v>22</v>
      </c>
      <c r="I55" s="85" t="s">
        <v>61</v>
      </c>
      <c r="J55" s="85" t="s">
        <v>63</v>
      </c>
      <c r="K55" s="87" t="s">
        <v>65</v>
      </c>
    </row>
    <row r="56" spans="1:11" ht="17.25" thickBot="1" x14ac:dyDescent="0.35">
      <c r="A56" s="1"/>
      <c r="B56" s="1"/>
      <c r="F56" s="30"/>
      <c r="G56" s="1"/>
      <c r="H56" s="98"/>
      <c r="I56" s="86" t="s">
        <v>62</v>
      </c>
      <c r="J56" s="86" t="s">
        <v>64</v>
      </c>
      <c r="K56" s="86" t="s">
        <v>64</v>
      </c>
    </row>
    <row r="57" spans="1:11" ht="17.25" thickBot="1" x14ac:dyDescent="0.35">
      <c r="A57" s="1"/>
      <c r="B57" s="1"/>
      <c r="F57" s="30"/>
      <c r="G57" s="30"/>
      <c r="H57" s="88" t="s">
        <v>45</v>
      </c>
      <c r="I57" s="89">
        <v>6085</v>
      </c>
      <c r="J57" s="90">
        <v>2000</v>
      </c>
      <c r="K57" s="92">
        <f>I57*J57</f>
        <v>12170000</v>
      </c>
    </row>
    <row r="58" spans="1:11" ht="17.25" thickBot="1" x14ac:dyDescent="0.35">
      <c r="A58" s="1"/>
      <c r="B58" s="1"/>
      <c r="F58" s="30"/>
      <c r="G58" s="30"/>
      <c r="H58" s="88" t="s">
        <v>46</v>
      </c>
      <c r="I58" s="89">
        <v>6398</v>
      </c>
      <c r="J58" s="90">
        <v>2000</v>
      </c>
      <c r="K58" s="92">
        <f t="shared" ref="K58" si="34">I58*J58</f>
        <v>12796000</v>
      </c>
    </row>
    <row r="59" spans="1:11" x14ac:dyDescent="0.3">
      <c r="A59" s="1"/>
      <c r="B59" s="1"/>
      <c r="F59" s="30"/>
      <c r="G59" s="34"/>
      <c r="H59" s="30"/>
      <c r="I59" s="30"/>
      <c r="K59" s="93">
        <f>SUM(K57:K58)</f>
        <v>24966000</v>
      </c>
    </row>
    <row r="60" spans="1:11" x14ac:dyDescent="0.3">
      <c r="A60" s="1"/>
      <c r="B60" s="1"/>
      <c r="F60" s="30"/>
      <c r="G60" s="30"/>
      <c r="H60" s="30"/>
      <c r="I60" s="30"/>
    </row>
    <row r="61" spans="1:11" x14ac:dyDescent="0.3">
      <c r="A61" s="1"/>
      <c r="B61" s="1"/>
      <c r="F61" s="30"/>
      <c r="G61" s="30"/>
      <c r="H61" s="30"/>
      <c r="I61" s="30"/>
    </row>
    <row r="62" spans="1:11" x14ac:dyDescent="0.3">
      <c r="A62" s="1"/>
      <c r="B62" s="1"/>
      <c r="F62" s="30"/>
      <c r="G62" s="30"/>
      <c r="H62" s="30"/>
      <c r="I62" s="30"/>
    </row>
    <row r="63" spans="1:11" x14ac:dyDescent="0.3">
      <c r="A63" s="1"/>
      <c r="B63" s="1"/>
      <c r="F63" s="30"/>
      <c r="G63" s="30"/>
      <c r="H63" s="30"/>
      <c r="I63" s="30"/>
    </row>
    <row r="64" spans="1:11" x14ac:dyDescent="0.3">
      <c r="A64" s="1"/>
      <c r="B64" s="1"/>
      <c r="F64" s="30"/>
      <c r="G64" s="30"/>
      <c r="H64" s="30"/>
      <c r="I64" s="30"/>
    </row>
    <row r="65" spans="1:9" x14ac:dyDescent="0.3">
      <c r="A65" s="1"/>
      <c r="B65" s="1"/>
      <c r="F65" s="30"/>
      <c r="G65" s="30"/>
      <c r="H65" s="30"/>
      <c r="I65" s="30"/>
    </row>
    <row r="66" spans="1:9" x14ac:dyDescent="0.3">
      <c r="A66" s="1"/>
      <c r="B66" s="1"/>
    </row>
    <row r="67" spans="1:9" x14ac:dyDescent="0.3">
      <c r="A67" s="1"/>
      <c r="B67" s="1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  <c r="F71" s="35"/>
    </row>
    <row r="72" spans="1:9" x14ac:dyDescent="0.3">
      <c r="A72" s="1"/>
      <c r="B72" s="1"/>
      <c r="F72" s="35"/>
    </row>
    <row r="73" spans="1:9" x14ac:dyDescent="0.3">
      <c r="A73" s="1"/>
      <c r="B73" s="1"/>
      <c r="F73" s="35"/>
    </row>
    <row r="74" spans="1:9" x14ac:dyDescent="0.3">
      <c r="A74" s="1"/>
      <c r="B74" s="1"/>
      <c r="F74" s="35"/>
    </row>
    <row r="75" spans="1:9" x14ac:dyDescent="0.3">
      <c r="A75" s="1"/>
      <c r="B75" s="1"/>
      <c r="F75" s="35"/>
    </row>
    <row r="76" spans="1:9" x14ac:dyDescent="0.3">
      <c r="A76" s="1"/>
      <c r="B76" s="1"/>
      <c r="F76" s="35"/>
    </row>
    <row r="77" spans="1:9" x14ac:dyDescent="0.3">
      <c r="A77" s="1"/>
      <c r="B77" s="1"/>
      <c r="F77" s="35"/>
    </row>
    <row r="78" spans="1:9" x14ac:dyDescent="0.3">
      <c r="A78" s="1"/>
      <c r="B78" s="1"/>
      <c r="F78" s="35"/>
    </row>
    <row r="79" spans="1:9" x14ac:dyDescent="0.3">
      <c r="A79" s="1"/>
      <c r="B79" s="1"/>
      <c r="F79" s="35"/>
    </row>
    <row r="80" spans="1:9" x14ac:dyDescent="0.3">
      <c r="A80" s="1"/>
      <c r="B80" s="1"/>
      <c r="F80" s="35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</sheetData>
  <mergeCells count="4">
    <mergeCell ref="B18:C18"/>
    <mergeCell ref="B23:C23"/>
    <mergeCell ref="H55:H56"/>
    <mergeCell ref="F40:F4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A5087-A53E-4C01-97A5-9F64E40950A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55963-5789-427D-872F-06A7CF364F82}">
  <dimension ref="A1"/>
  <sheetViews>
    <sheetView zoomScale="85" zoomScaleNormal="85" workbookViewId="0">
      <selection activeCell="U56" sqref="U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DE28-2A5E-49ED-81F0-DAC751CD98B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E122-0372-4CDE-8F05-2FC86FDE7B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28A5A-9A45-4646-82A5-19D5B325E71C}">
  <dimension ref="A1:R21"/>
  <sheetViews>
    <sheetView workbookViewId="0">
      <selection activeCell="E10" sqref="E10"/>
    </sheetView>
  </sheetViews>
  <sheetFormatPr defaultRowHeight="15" x14ac:dyDescent="0.25"/>
  <cols>
    <col min="2" max="2" width="10.140625" bestFit="1" customWidth="1"/>
    <col min="3" max="3" width="12.140625" bestFit="1" customWidth="1"/>
    <col min="13" max="13" width="11.140625" customWidth="1"/>
    <col min="14" max="14" width="12.28515625" customWidth="1"/>
    <col min="15" max="15" width="8.7109375" customWidth="1"/>
    <col min="16" max="16" width="8.42578125" customWidth="1"/>
  </cols>
  <sheetData>
    <row r="1" spans="1:18" s="82" customFormat="1" ht="45" x14ac:dyDescent="0.25">
      <c r="A1" s="81" t="s">
        <v>51</v>
      </c>
      <c r="B1" s="81" t="s">
        <v>52</v>
      </c>
      <c r="C1" s="81" t="s">
        <v>15</v>
      </c>
      <c r="D1" s="81" t="s">
        <v>6</v>
      </c>
      <c r="E1" s="81" t="s">
        <v>5</v>
      </c>
      <c r="F1" s="81" t="str">
        <f>K1</f>
        <v xml:space="preserve">Flat / Office / Shop No. </v>
      </c>
      <c r="G1" s="81" t="s">
        <v>53</v>
      </c>
      <c r="I1" s="82" t="s">
        <v>19</v>
      </c>
      <c r="J1" s="82" t="s">
        <v>52</v>
      </c>
      <c r="K1" s="82" t="s">
        <v>54</v>
      </c>
      <c r="L1" s="82" t="s">
        <v>53</v>
      </c>
      <c r="M1" s="82" t="s">
        <v>55</v>
      </c>
      <c r="N1" s="82" t="s">
        <v>56</v>
      </c>
      <c r="O1" s="82" t="s">
        <v>57</v>
      </c>
      <c r="P1" s="82" t="s">
        <v>44</v>
      </c>
      <c r="Q1" s="82" t="s">
        <v>6</v>
      </c>
    </row>
    <row r="2" spans="1:18" x14ac:dyDescent="0.25">
      <c r="A2" s="83">
        <f>I2</f>
        <v>0</v>
      </c>
      <c r="B2" s="83">
        <f>J2</f>
        <v>0</v>
      </c>
      <c r="C2" s="83">
        <f>P2</f>
        <v>14371</v>
      </c>
      <c r="D2" s="83">
        <f>Q2</f>
        <v>80000000</v>
      </c>
      <c r="E2" s="83">
        <f>ROUND((D2/C2),0)</f>
        <v>5567</v>
      </c>
      <c r="F2" s="83">
        <f>K2</f>
        <v>0</v>
      </c>
      <c r="G2" s="83">
        <f>L2</f>
        <v>0</v>
      </c>
      <c r="K2">
        <v>0</v>
      </c>
      <c r="L2">
        <v>0</v>
      </c>
      <c r="M2">
        <v>0</v>
      </c>
      <c r="N2">
        <f>M2*10.764</f>
        <v>0</v>
      </c>
      <c r="O2">
        <v>1335.08</v>
      </c>
      <c r="P2">
        <f>ROUND((O2*10.764),0)</f>
        <v>14371</v>
      </c>
      <c r="Q2">
        <v>80000000</v>
      </c>
      <c r="R2" s="84" t="s">
        <v>58</v>
      </c>
    </row>
    <row r="3" spans="1:18" x14ac:dyDescent="0.25">
      <c r="A3" s="83">
        <f t="shared" ref="A3:B17" si="0">I3</f>
        <v>0</v>
      </c>
      <c r="B3" s="83">
        <f t="shared" si="0"/>
        <v>0</v>
      </c>
      <c r="C3" s="83">
        <f t="shared" ref="C3:D17" si="1">P3</f>
        <v>1812</v>
      </c>
      <c r="D3" s="83">
        <f t="shared" si="1"/>
        <v>5500000</v>
      </c>
      <c r="E3" s="83">
        <f t="shared" ref="E3:E17" si="2">ROUND((D3/C3),0)</f>
        <v>3035</v>
      </c>
      <c r="F3" s="83">
        <f t="shared" ref="F3:G17" si="3">K3</f>
        <v>0</v>
      </c>
      <c r="G3" s="83">
        <f t="shared" si="3"/>
        <v>0</v>
      </c>
      <c r="K3">
        <v>0</v>
      </c>
      <c r="L3">
        <v>0</v>
      </c>
      <c r="M3">
        <v>0</v>
      </c>
      <c r="N3">
        <v>1510</v>
      </c>
      <c r="O3">
        <f t="shared" ref="O3:O17" si="4">(N3*1.2)/10.764</f>
        <v>168.33890746934227</v>
      </c>
      <c r="P3">
        <f t="shared" ref="P3:P17" si="5">ROUND((O3*10.764),0)</f>
        <v>1812</v>
      </c>
      <c r="Q3">
        <v>5500000</v>
      </c>
      <c r="R3" s="84">
        <v>1</v>
      </c>
    </row>
    <row r="4" spans="1:18" x14ac:dyDescent="0.25">
      <c r="A4" s="83">
        <f t="shared" si="0"/>
        <v>0</v>
      </c>
      <c r="B4" s="83">
        <f t="shared" si="0"/>
        <v>0</v>
      </c>
      <c r="C4" s="83">
        <f t="shared" si="1"/>
        <v>304</v>
      </c>
      <c r="D4" s="83">
        <f t="shared" si="1"/>
        <v>1100000</v>
      </c>
      <c r="E4" s="83">
        <f t="shared" si="2"/>
        <v>3618</v>
      </c>
      <c r="F4" s="83">
        <f t="shared" si="3"/>
        <v>0</v>
      </c>
      <c r="G4" s="83">
        <f t="shared" si="3"/>
        <v>0</v>
      </c>
      <c r="K4">
        <v>0</v>
      </c>
      <c r="L4">
        <v>0</v>
      </c>
      <c r="M4">
        <v>0</v>
      </c>
      <c r="N4">
        <v>253</v>
      </c>
      <c r="O4">
        <f t="shared" si="4"/>
        <v>28.205128205128204</v>
      </c>
      <c r="P4">
        <f t="shared" si="5"/>
        <v>304</v>
      </c>
      <c r="Q4">
        <v>1100000</v>
      </c>
      <c r="R4" s="84" t="s">
        <v>58</v>
      </c>
    </row>
    <row r="5" spans="1:18" x14ac:dyDescent="0.25">
      <c r="A5" s="83">
        <f t="shared" si="0"/>
        <v>0</v>
      </c>
      <c r="B5" s="83">
        <f t="shared" si="0"/>
        <v>0</v>
      </c>
      <c r="C5" s="83">
        <f t="shared" si="1"/>
        <v>14161</v>
      </c>
      <c r="D5" s="83">
        <f t="shared" si="1"/>
        <v>7521572</v>
      </c>
      <c r="E5" s="83">
        <f t="shared" si="2"/>
        <v>531</v>
      </c>
      <c r="F5" s="83">
        <f t="shared" si="3"/>
        <v>0</v>
      </c>
      <c r="G5" s="83">
        <f t="shared" si="3"/>
        <v>0</v>
      </c>
      <c r="K5">
        <v>0</v>
      </c>
      <c r="L5">
        <v>0</v>
      </c>
      <c r="M5">
        <v>0</v>
      </c>
      <c r="N5">
        <f t="shared" ref="N5:N17" si="6">M5*10.764</f>
        <v>0</v>
      </c>
      <c r="O5">
        <v>1315.57</v>
      </c>
      <c r="P5">
        <f t="shared" si="5"/>
        <v>14161</v>
      </c>
      <c r="Q5">
        <v>7521572</v>
      </c>
      <c r="R5" s="84" t="s">
        <v>59</v>
      </c>
    </row>
    <row r="6" spans="1:18" x14ac:dyDescent="0.25">
      <c r="A6" s="83">
        <f t="shared" si="0"/>
        <v>0</v>
      </c>
      <c r="B6" s="83">
        <f t="shared" si="0"/>
        <v>0</v>
      </c>
      <c r="C6" s="83">
        <f t="shared" si="1"/>
        <v>1812</v>
      </c>
      <c r="D6" s="83">
        <f t="shared" si="1"/>
        <v>5600000</v>
      </c>
      <c r="E6" s="83">
        <f t="shared" si="2"/>
        <v>3091</v>
      </c>
      <c r="F6" s="83">
        <f t="shared" si="3"/>
        <v>0</v>
      </c>
      <c r="G6" s="83">
        <f t="shared" si="3"/>
        <v>0</v>
      </c>
      <c r="K6">
        <v>0</v>
      </c>
      <c r="L6">
        <v>0</v>
      </c>
      <c r="M6">
        <v>0</v>
      </c>
      <c r="N6">
        <v>1510</v>
      </c>
      <c r="O6">
        <f t="shared" si="4"/>
        <v>168.33890746934227</v>
      </c>
      <c r="P6">
        <f t="shared" si="5"/>
        <v>1812</v>
      </c>
      <c r="Q6">
        <v>5600000</v>
      </c>
      <c r="R6" s="84" t="s">
        <v>58</v>
      </c>
    </row>
    <row r="7" spans="1:18" x14ac:dyDescent="0.25">
      <c r="A7" s="83">
        <f t="shared" si="0"/>
        <v>0</v>
      </c>
      <c r="B7" s="83">
        <f t="shared" si="0"/>
        <v>0</v>
      </c>
      <c r="C7" s="83">
        <f t="shared" si="1"/>
        <v>209</v>
      </c>
      <c r="D7" s="83">
        <f t="shared" si="1"/>
        <v>1000000</v>
      </c>
      <c r="E7" s="83">
        <f t="shared" si="2"/>
        <v>4785</v>
      </c>
      <c r="F7" s="83">
        <f t="shared" si="3"/>
        <v>0</v>
      </c>
      <c r="G7" s="83">
        <f t="shared" si="3"/>
        <v>0</v>
      </c>
      <c r="K7">
        <v>0</v>
      </c>
      <c r="L7">
        <v>0</v>
      </c>
      <c r="M7">
        <v>0</v>
      </c>
      <c r="N7">
        <v>174</v>
      </c>
      <c r="O7">
        <f t="shared" si="4"/>
        <v>19.397993311036789</v>
      </c>
      <c r="P7">
        <f t="shared" si="5"/>
        <v>209</v>
      </c>
      <c r="Q7">
        <v>1000000</v>
      </c>
      <c r="R7" s="84" t="s">
        <v>58</v>
      </c>
    </row>
    <row r="8" spans="1:18" x14ac:dyDescent="0.25">
      <c r="A8" s="83">
        <f t="shared" si="0"/>
        <v>0</v>
      </c>
      <c r="B8" s="83">
        <f t="shared" si="0"/>
        <v>0</v>
      </c>
      <c r="C8" s="83">
        <f t="shared" si="1"/>
        <v>2257</v>
      </c>
      <c r="D8" s="83">
        <f t="shared" si="1"/>
        <v>10500000</v>
      </c>
      <c r="E8" s="83">
        <f t="shared" si="2"/>
        <v>4652</v>
      </c>
      <c r="F8" s="83">
        <f t="shared" si="3"/>
        <v>0</v>
      </c>
      <c r="G8" s="83">
        <f t="shared" si="3"/>
        <v>0</v>
      </c>
      <c r="K8">
        <v>0</v>
      </c>
      <c r="L8">
        <v>0</v>
      </c>
      <c r="M8">
        <v>0</v>
      </c>
      <c r="N8">
        <v>1881</v>
      </c>
      <c r="O8">
        <f t="shared" si="4"/>
        <v>209.69899665551839</v>
      </c>
      <c r="P8">
        <f t="shared" si="5"/>
        <v>2257</v>
      </c>
      <c r="Q8">
        <v>10500000</v>
      </c>
      <c r="R8" s="84">
        <v>1</v>
      </c>
    </row>
    <row r="9" spans="1:18" x14ac:dyDescent="0.25">
      <c r="A9" s="83">
        <f t="shared" si="0"/>
        <v>0</v>
      </c>
      <c r="B9" s="83">
        <f t="shared" si="0"/>
        <v>0</v>
      </c>
      <c r="C9" s="83">
        <f t="shared" si="1"/>
        <v>1812</v>
      </c>
      <c r="D9" s="83">
        <f t="shared" si="1"/>
        <v>5211999</v>
      </c>
      <c r="E9" s="83">
        <f t="shared" si="2"/>
        <v>2876</v>
      </c>
      <c r="F9" s="83">
        <f t="shared" si="3"/>
        <v>0</v>
      </c>
      <c r="G9" s="83">
        <f t="shared" si="3"/>
        <v>0</v>
      </c>
      <c r="K9">
        <v>0</v>
      </c>
      <c r="L9">
        <v>0</v>
      </c>
      <c r="M9">
        <v>0</v>
      </c>
      <c r="N9">
        <v>1510</v>
      </c>
      <c r="O9">
        <f t="shared" si="4"/>
        <v>168.33890746934227</v>
      </c>
      <c r="P9">
        <f t="shared" si="5"/>
        <v>1812</v>
      </c>
      <c r="Q9">
        <v>5211999</v>
      </c>
      <c r="R9" s="84" t="s">
        <v>58</v>
      </c>
    </row>
    <row r="10" spans="1:18" x14ac:dyDescent="0.25">
      <c r="A10" s="83">
        <f t="shared" si="0"/>
        <v>0</v>
      </c>
      <c r="B10" s="83">
        <f t="shared" si="0"/>
        <v>0</v>
      </c>
      <c r="C10" s="83">
        <f t="shared" si="1"/>
        <v>2257</v>
      </c>
      <c r="D10" s="83">
        <f t="shared" si="1"/>
        <v>8500000</v>
      </c>
      <c r="E10" s="83">
        <f t="shared" si="2"/>
        <v>3766</v>
      </c>
      <c r="F10" s="83">
        <f t="shared" si="3"/>
        <v>0</v>
      </c>
      <c r="G10" s="83">
        <f t="shared" si="3"/>
        <v>0</v>
      </c>
      <c r="K10">
        <v>0</v>
      </c>
      <c r="L10">
        <v>0</v>
      </c>
      <c r="M10">
        <v>0</v>
      </c>
      <c r="N10">
        <v>1881</v>
      </c>
      <c r="O10">
        <f t="shared" si="4"/>
        <v>209.69899665551839</v>
      </c>
      <c r="P10">
        <f t="shared" si="5"/>
        <v>2257</v>
      </c>
      <c r="Q10">
        <v>8500000</v>
      </c>
      <c r="R10" s="84">
        <v>1</v>
      </c>
    </row>
    <row r="11" spans="1:18" x14ac:dyDescent="0.25">
      <c r="A11" s="83">
        <f t="shared" si="0"/>
        <v>0</v>
      </c>
      <c r="B11" s="83">
        <f t="shared" si="0"/>
        <v>0</v>
      </c>
      <c r="C11" s="83">
        <f t="shared" si="1"/>
        <v>0</v>
      </c>
      <c r="D11" s="83">
        <f t="shared" si="1"/>
        <v>0</v>
      </c>
      <c r="E11" s="83" t="e">
        <f t="shared" si="2"/>
        <v>#DIV/0!</v>
      </c>
      <c r="F11" s="83">
        <f t="shared" si="3"/>
        <v>0</v>
      </c>
      <c r="G11" s="83">
        <f t="shared" si="3"/>
        <v>0</v>
      </c>
      <c r="K11">
        <v>0</v>
      </c>
      <c r="L11">
        <v>0</v>
      </c>
      <c r="M11">
        <v>0</v>
      </c>
      <c r="N11">
        <f t="shared" si="6"/>
        <v>0</v>
      </c>
      <c r="O11">
        <f t="shared" si="4"/>
        <v>0</v>
      </c>
      <c r="P11">
        <f t="shared" si="5"/>
        <v>0</v>
      </c>
      <c r="Q11">
        <v>0</v>
      </c>
    </row>
    <row r="12" spans="1:18" x14ac:dyDescent="0.25">
      <c r="A12" s="83">
        <f t="shared" si="0"/>
        <v>0</v>
      </c>
      <c r="B12" s="83">
        <f t="shared" si="0"/>
        <v>0</v>
      </c>
      <c r="C12" s="83">
        <f t="shared" si="1"/>
        <v>0</v>
      </c>
      <c r="D12" s="83">
        <f t="shared" si="1"/>
        <v>0</v>
      </c>
      <c r="E12" s="83" t="e">
        <f t="shared" si="2"/>
        <v>#DIV/0!</v>
      </c>
      <c r="F12" s="83">
        <f t="shared" si="3"/>
        <v>0</v>
      </c>
      <c r="G12" s="83">
        <f t="shared" si="3"/>
        <v>0</v>
      </c>
      <c r="K12">
        <v>0</v>
      </c>
      <c r="L12">
        <v>0</v>
      </c>
      <c r="M12">
        <v>0</v>
      </c>
      <c r="N12">
        <f t="shared" si="6"/>
        <v>0</v>
      </c>
      <c r="O12">
        <f t="shared" si="4"/>
        <v>0</v>
      </c>
      <c r="P12">
        <f t="shared" si="5"/>
        <v>0</v>
      </c>
      <c r="Q12">
        <v>0</v>
      </c>
    </row>
    <row r="13" spans="1:18" x14ac:dyDescent="0.25">
      <c r="A13" s="83">
        <f t="shared" si="0"/>
        <v>0</v>
      </c>
      <c r="B13" s="83">
        <f t="shared" si="0"/>
        <v>0</v>
      </c>
      <c r="C13" s="83">
        <f t="shared" si="1"/>
        <v>0</v>
      </c>
      <c r="D13" s="83">
        <f t="shared" si="1"/>
        <v>0</v>
      </c>
      <c r="E13" s="83" t="e">
        <f t="shared" si="2"/>
        <v>#DIV/0!</v>
      </c>
      <c r="F13" s="83">
        <f t="shared" si="3"/>
        <v>0</v>
      </c>
      <c r="G13" s="83">
        <f t="shared" si="3"/>
        <v>0</v>
      </c>
      <c r="K13">
        <v>0</v>
      </c>
      <c r="L13">
        <v>0</v>
      </c>
      <c r="M13">
        <v>0</v>
      </c>
      <c r="N13">
        <f t="shared" si="6"/>
        <v>0</v>
      </c>
      <c r="O13">
        <f t="shared" si="4"/>
        <v>0</v>
      </c>
      <c r="P13">
        <f t="shared" si="5"/>
        <v>0</v>
      </c>
      <c r="Q13">
        <v>0</v>
      </c>
    </row>
    <row r="14" spans="1:18" x14ac:dyDescent="0.25">
      <c r="A14" s="83">
        <f t="shared" si="0"/>
        <v>0</v>
      </c>
      <c r="B14" s="83">
        <f t="shared" si="0"/>
        <v>0</v>
      </c>
      <c r="C14" s="83">
        <f t="shared" si="1"/>
        <v>0</v>
      </c>
      <c r="D14" s="83">
        <f t="shared" si="1"/>
        <v>0</v>
      </c>
      <c r="E14" s="83" t="e">
        <f t="shared" si="2"/>
        <v>#DIV/0!</v>
      </c>
      <c r="F14" s="83">
        <f t="shared" si="3"/>
        <v>0</v>
      </c>
      <c r="G14" s="83">
        <f t="shared" si="3"/>
        <v>0</v>
      </c>
      <c r="K14">
        <v>0</v>
      </c>
      <c r="L14">
        <v>0</v>
      </c>
      <c r="M14">
        <v>0</v>
      </c>
      <c r="N14">
        <f t="shared" si="6"/>
        <v>0</v>
      </c>
      <c r="O14">
        <f t="shared" si="4"/>
        <v>0</v>
      </c>
      <c r="P14">
        <f t="shared" si="5"/>
        <v>0</v>
      </c>
      <c r="Q14">
        <v>0</v>
      </c>
    </row>
    <row r="15" spans="1:18" x14ac:dyDescent="0.25">
      <c r="A15" s="83">
        <f t="shared" si="0"/>
        <v>0</v>
      </c>
      <c r="B15" s="83">
        <f t="shared" si="0"/>
        <v>0</v>
      </c>
      <c r="C15" s="83">
        <f t="shared" si="1"/>
        <v>0</v>
      </c>
      <c r="D15" s="83">
        <f t="shared" si="1"/>
        <v>0</v>
      </c>
      <c r="E15" s="83" t="e">
        <f t="shared" si="2"/>
        <v>#DIV/0!</v>
      </c>
      <c r="F15" s="83">
        <f t="shared" si="3"/>
        <v>0</v>
      </c>
      <c r="G15" s="83">
        <f t="shared" si="3"/>
        <v>0</v>
      </c>
      <c r="K15">
        <v>0</v>
      </c>
      <c r="L15">
        <v>0</v>
      </c>
      <c r="M15">
        <v>0</v>
      </c>
      <c r="N15">
        <f t="shared" si="6"/>
        <v>0</v>
      </c>
      <c r="O15">
        <f t="shared" si="4"/>
        <v>0</v>
      </c>
      <c r="P15">
        <f t="shared" si="5"/>
        <v>0</v>
      </c>
      <c r="Q15">
        <v>0</v>
      </c>
    </row>
    <row r="16" spans="1:18" x14ac:dyDescent="0.25">
      <c r="A16" s="83">
        <f t="shared" si="0"/>
        <v>0</v>
      </c>
      <c r="B16" s="83">
        <f t="shared" si="0"/>
        <v>0</v>
      </c>
      <c r="C16" s="83">
        <f t="shared" si="1"/>
        <v>0</v>
      </c>
      <c r="D16" s="83">
        <f t="shared" si="1"/>
        <v>0</v>
      </c>
      <c r="E16" s="83" t="e">
        <f t="shared" si="2"/>
        <v>#DIV/0!</v>
      </c>
      <c r="F16" s="83">
        <f t="shared" si="3"/>
        <v>0</v>
      </c>
      <c r="G16" s="83">
        <f t="shared" si="3"/>
        <v>0</v>
      </c>
      <c r="K16">
        <v>0</v>
      </c>
      <c r="L16">
        <v>0</v>
      </c>
      <c r="M16">
        <v>0</v>
      </c>
      <c r="N16">
        <f t="shared" si="6"/>
        <v>0</v>
      </c>
      <c r="O16">
        <f t="shared" si="4"/>
        <v>0</v>
      </c>
      <c r="P16">
        <f t="shared" si="5"/>
        <v>0</v>
      </c>
      <c r="Q16">
        <v>0</v>
      </c>
    </row>
    <row r="17" spans="1:17" x14ac:dyDescent="0.25">
      <c r="A17" s="83">
        <f t="shared" si="0"/>
        <v>0</v>
      </c>
      <c r="B17" s="83">
        <f t="shared" si="0"/>
        <v>0</v>
      </c>
      <c r="C17" s="83">
        <f t="shared" si="1"/>
        <v>0</v>
      </c>
      <c r="D17" s="83">
        <f t="shared" si="1"/>
        <v>0</v>
      </c>
      <c r="E17" s="83" t="e">
        <f t="shared" si="2"/>
        <v>#DIV/0!</v>
      </c>
      <c r="F17" s="83">
        <f t="shared" si="3"/>
        <v>0</v>
      </c>
      <c r="G17" s="83">
        <f t="shared" si="3"/>
        <v>0</v>
      </c>
      <c r="K17">
        <v>0</v>
      </c>
      <c r="L17">
        <v>0</v>
      </c>
      <c r="M17">
        <v>0</v>
      </c>
      <c r="N17">
        <f t="shared" si="6"/>
        <v>0</v>
      </c>
      <c r="O17">
        <f t="shared" si="4"/>
        <v>0</v>
      </c>
      <c r="P17">
        <f t="shared" si="5"/>
        <v>0</v>
      </c>
      <c r="Q17">
        <v>0</v>
      </c>
    </row>
    <row r="20" spans="1:17" x14ac:dyDescent="0.25">
      <c r="N20" t="s">
        <v>58</v>
      </c>
      <c r="O20">
        <v>3987</v>
      </c>
    </row>
    <row r="21" spans="1:17" x14ac:dyDescent="0.25">
      <c r="N21" t="s">
        <v>60</v>
      </c>
      <c r="O21">
        <v>3818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F0CA-CD91-420A-881E-A2CE85D53299}">
  <dimension ref="A1:S171"/>
  <sheetViews>
    <sheetView topLeftCell="A7" workbookViewId="0">
      <selection activeCell="J9" sqref="J9"/>
    </sheetView>
  </sheetViews>
  <sheetFormatPr defaultRowHeight="16.5" x14ac:dyDescent="0.3"/>
  <cols>
    <col min="1" max="1" width="9.140625" style="36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5" bestFit="1" customWidth="1"/>
    <col min="8" max="8" width="15.28515625" style="5" bestFit="1" customWidth="1"/>
    <col min="9" max="9" width="15.28515625" style="5" customWidth="1"/>
    <col min="10" max="10" width="13.85546875" style="1" bestFit="1" customWidth="1"/>
    <col min="11" max="11" width="15.42578125" style="5" bestFit="1" customWidth="1"/>
    <col min="12" max="12" width="14.140625" style="1" customWidth="1"/>
    <col min="13" max="13" width="13.7109375" style="5" bestFit="1" customWidth="1"/>
    <col min="14" max="14" width="14.85546875" style="5" customWidth="1"/>
    <col min="15" max="15" width="14.85546875" style="5" bestFit="1" customWidth="1"/>
    <col min="16" max="16" width="13.7109375" style="1" bestFit="1" customWidth="1"/>
    <col min="17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0" t="s">
        <v>11</v>
      </c>
      <c r="E1" s="1" t="s">
        <v>31</v>
      </c>
      <c r="F1" s="5" t="s">
        <v>32</v>
      </c>
      <c r="H1" s="5" t="s">
        <v>30</v>
      </c>
      <c r="K1" s="5" t="s">
        <v>20</v>
      </c>
      <c r="O1" s="5" t="s">
        <v>25</v>
      </c>
      <c r="R1" s="5" t="s">
        <v>25</v>
      </c>
    </row>
    <row r="2" spans="1:19" x14ac:dyDescent="0.3">
      <c r="B2" s="20" t="s">
        <v>9</v>
      </c>
      <c r="C2" s="44">
        <v>6398</v>
      </c>
      <c r="D2" s="5" t="s">
        <v>32</v>
      </c>
      <c r="E2" s="4">
        <v>0</v>
      </c>
      <c r="F2" s="4">
        <f>MROUND(E2*10.764,1)</f>
        <v>0</v>
      </c>
      <c r="G2" s="22"/>
      <c r="H2" s="1" t="s">
        <v>31</v>
      </c>
      <c r="I2" s="44">
        <v>0</v>
      </c>
      <c r="J2" s="44">
        <f>C2</f>
        <v>6398</v>
      </c>
      <c r="K2" s="44">
        <f>I3</f>
        <v>0</v>
      </c>
      <c r="L2" s="38">
        <f>J2*K2</f>
        <v>0</v>
      </c>
      <c r="O2" s="41" t="s">
        <v>27</v>
      </c>
      <c r="P2" s="42">
        <f>C33</f>
        <v>22393000</v>
      </c>
      <c r="R2" s="17">
        <f>P2*0.025/12</f>
        <v>46652.083333333336</v>
      </c>
      <c r="S2" s="15" t="s">
        <v>26</v>
      </c>
    </row>
    <row r="3" spans="1:19" x14ac:dyDescent="0.3">
      <c r="B3" s="21" t="s">
        <v>5</v>
      </c>
      <c r="C3" s="15">
        <v>1800</v>
      </c>
      <c r="D3" s="12"/>
      <c r="E3" s="23"/>
      <c r="F3" s="23"/>
      <c r="G3" s="12"/>
      <c r="H3" s="1" t="s">
        <v>32</v>
      </c>
      <c r="I3" s="44">
        <f>MROUND(I2/10.764,1)</f>
        <v>0</v>
      </c>
      <c r="J3" s="44"/>
      <c r="K3" s="38"/>
      <c r="L3" s="38">
        <f>N16</f>
        <v>10876600</v>
      </c>
      <c r="O3" s="41" t="s">
        <v>27</v>
      </c>
      <c r="P3" s="42">
        <f>C33</f>
        <v>22393000</v>
      </c>
      <c r="Q3" s="5"/>
      <c r="R3" s="17">
        <f>P3*0.04/12</f>
        <v>74643.333333333328</v>
      </c>
      <c r="S3" s="43" t="s">
        <v>28</v>
      </c>
    </row>
    <row r="4" spans="1:19" x14ac:dyDescent="0.3">
      <c r="B4" s="28" t="s">
        <v>14</v>
      </c>
      <c r="C4" s="38">
        <f>ROUND((C2*C3),0)</f>
        <v>11516400</v>
      </c>
      <c r="F4" s="19"/>
      <c r="G4" s="19"/>
      <c r="I4" s="38"/>
      <c r="J4" s="44"/>
      <c r="K4" s="38"/>
      <c r="L4" s="38">
        <f>SUM(L2:L3)</f>
        <v>10876600</v>
      </c>
      <c r="O4" s="41" t="s">
        <v>27</v>
      </c>
      <c r="P4" s="42">
        <f>C33</f>
        <v>22393000</v>
      </c>
      <c r="Q4" s="5"/>
      <c r="R4" s="17">
        <f>P4*0.033/12</f>
        <v>61580.75</v>
      </c>
      <c r="S4" s="15" t="s">
        <v>29</v>
      </c>
    </row>
    <row r="5" spans="1:19" x14ac:dyDescent="0.3">
      <c r="B5" s="10" t="s">
        <v>12</v>
      </c>
    </row>
    <row r="6" spans="1:19" s="3" customFormat="1" ht="57" x14ac:dyDescent="0.2">
      <c r="A6" s="49" t="s">
        <v>19</v>
      </c>
      <c r="B6" s="50" t="s">
        <v>22</v>
      </c>
      <c r="C6" s="50" t="s">
        <v>24</v>
      </c>
      <c r="D6" s="50" t="s">
        <v>0</v>
      </c>
      <c r="E6" s="50" t="s">
        <v>1</v>
      </c>
      <c r="F6" s="50" t="s">
        <v>2</v>
      </c>
      <c r="G6" s="50" t="s">
        <v>33</v>
      </c>
      <c r="H6" s="51" t="s">
        <v>38</v>
      </c>
      <c r="I6" s="51" t="s">
        <v>23</v>
      </c>
      <c r="J6" s="52" t="s">
        <v>3</v>
      </c>
      <c r="K6" s="52" t="s">
        <v>4</v>
      </c>
      <c r="L6" s="51" t="s">
        <v>34</v>
      </c>
      <c r="M6" s="53" t="s">
        <v>21</v>
      </c>
      <c r="N6" s="53" t="s">
        <v>35</v>
      </c>
      <c r="O6" s="53" t="s">
        <v>36</v>
      </c>
    </row>
    <row r="7" spans="1:19" s="3" customFormat="1" ht="15" thickBot="1" x14ac:dyDescent="0.25">
      <c r="A7" s="49"/>
      <c r="B7" s="50"/>
      <c r="C7" s="51" t="s">
        <v>48</v>
      </c>
      <c r="D7" s="50"/>
      <c r="E7" s="50"/>
      <c r="F7" s="50"/>
      <c r="G7" s="54" t="s">
        <v>40</v>
      </c>
      <c r="H7" s="48" t="s">
        <v>39</v>
      </c>
      <c r="I7" s="48" t="s">
        <v>39</v>
      </c>
      <c r="J7" s="52"/>
      <c r="K7" s="52"/>
      <c r="L7" s="52" t="s">
        <v>41</v>
      </c>
      <c r="M7" s="52" t="s">
        <v>41</v>
      </c>
      <c r="N7" s="52" t="s">
        <v>41</v>
      </c>
      <c r="O7" s="52" t="s">
        <v>41</v>
      </c>
    </row>
    <row r="8" spans="1:19" s="8" customFormat="1" ht="17.25" thickBot="1" x14ac:dyDescent="0.3">
      <c r="A8" s="55">
        <v>1</v>
      </c>
      <c r="B8" s="56" t="s">
        <v>45</v>
      </c>
      <c r="C8" s="76">
        <v>0</v>
      </c>
      <c r="D8" s="58">
        <v>2014</v>
      </c>
      <c r="E8" s="58">
        <v>2024</v>
      </c>
      <c r="F8" s="58">
        <v>60</v>
      </c>
      <c r="G8" s="59">
        <v>2000</v>
      </c>
      <c r="H8" s="60">
        <f t="shared" ref="H8:H15" si="0">E8-D8</f>
        <v>10</v>
      </c>
      <c r="I8" s="60">
        <f t="shared" ref="I8:I15" si="1">F8-H8</f>
        <v>50</v>
      </c>
      <c r="J8" s="60">
        <f t="shared" ref="J8:J15" si="2">IF(H8&gt;=5,90*H8/F8,0)</f>
        <v>15</v>
      </c>
      <c r="K8" s="60">
        <f t="shared" ref="K8:K15" si="3">G8/100*J8</f>
        <v>300</v>
      </c>
      <c r="L8" s="60">
        <f t="shared" ref="L8:L15" si="4">ROUND((G8-K8),0)</f>
        <v>1700</v>
      </c>
      <c r="M8" s="60">
        <f t="shared" ref="M8:M15" si="5">O8-N8</f>
        <v>0</v>
      </c>
      <c r="N8" s="60">
        <f t="shared" ref="N8:N15" si="6">ROUND((L8*C8),0)</f>
        <v>0</v>
      </c>
      <c r="O8" s="60">
        <f t="shared" ref="O8:O15" si="7">ROUND((C8*G8),0)</f>
        <v>0</v>
      </c>
      <c r="Q8" s="75"/>
    </row>
    <row r="9" spans="1:19" s="8" customFormat="1" ht="17.25" thickBot="1" x14ac:dyDescent="0.3">
      <c r="A9" s="55">
        <v>2</v>
      </c>
      <c r="B9" s="56" t="s">
        <v>46</v>
      </c>
      <c r="C9" s="77">
        <v>6398</v>
      </c>
      <c r="D9" s="58">
        <v>2014</v>
      </c>
      <c r="E9" s="58">
        <v>2024</v>
      </c>
      <c r="F9" s="58">
        <v>60</v>
      </c>
      <c r="G9" s="59">
        <v>2000</v>
      </c>
      <c r="H9" s="60">
        <f t="shared" si="0"/>
        <v>10</v>
      </c>
      <c r="I9" s="60">
        <f t="shared" si="1"/>
        <v>50</v>
      </c>
      <c r="J9" s="60">
        <f t="shared" si="2"/>
        <v>15</v>
      </c>
      <c r="K9" s="60">
        <f t="shared" si="3"/>
        <v>300</v>
      </c>
      <c r="L9" s="60">
        <f t="shared" si="4"/>
        <v>1700</v>
      </c>
      <c r="M9" s="60">
        <f t="shared" si="5"/>
        <v>1919400</v>
      </c>
      <c r="N9" s="60">
        <f t="shared" si="6"/>
        <v>10876600</v>
      </c>
      <c r="O9" s="60">
        <f t="shared" si="7"/>
        <v>12796000</v>
      </c>
    </row>
    <row r="10" spans="1:19" s="8" customFormat="1" ht="17.25" customHeight="1" x14ac:dyDescent="0.25">
      <c r="A10" s="55">
        <v>3</v>
      </c>
      <c r="B10" s="56"/>
      <c r="C10" s="57">
        <v>0</v>
      </c>
      <c r="D10" s="58">
        <v>0</v>
      </c>
      <c r="E10" s="58">
        <v>0</v>
      </c>
      <c r="F10" s="58">
        <v>60</v>
      </c>
      <c r="G10" s="59">
        <v>0</v>
      </c>
      <c r="H10" s="60">
        <f t="shared" si="0"/>
        <v>0</v>
      </c>
      <c r="I10" s="60">
        <f t="shared" si="1"/>
        <v>60</v>
      </c>
      <c r="J10" s="60">
        <f t="shared" si="2"/>
        <v>0</v>
      </c>
      <c r="K10" s="60">
        <f t="shared" si="3"/>
        <v>0</v>
      </c>
      <c r="L10" s="60">
        <f t="shared" si="4"/>
        <v>0</v>
      </c>
      <c r="M10" s="60">
        <f t="shared" si="5"/>
        <v>0</v>
      </c>
      <c r="N10" s="60">
        <f t="shared" si="6"/>
        <v>0</v>
      </c>
      <c r="O10" s="60">
        <f t="shared" si="7"/>
        <v>0</v>
      </c>
    </row>
    <row r="11" spans="1:19" s="8" customFormat="1" x14ac:dyDescent="0.25">
      <c r="A11" s="55">
        <v>4</v>
      </c>
      <c r="B11" s="56"/>
      <c r="C11" s="57">
        <v>0</v>
      </c>
      <c r="D11" s="58">
        <v>0</v>
      </c>
      <c r="E11" s="58">
        <v>0</v>
      </c>
      <c r="F11" s="58">
        <v>60</v>
      </c>
      <c r="G11" s="59">
        <v>0</v>
      </c>
      <c r="H11" s="60">
        <f t="shared" si="0"/>
        <v>0</v>
      </c>
      <c r="I11" s="60">
        <f t="shared" si="1"/>
        <v>60</v>
      </c>
      <c r="J11" s="60">
        <f t="shared" si="2"/>
        <v>0</v>
      </c>
      <c r="K11" s="60">
        <f t="shared" si="3"/>
        <v>0</v>
      </c>
      <c r="L11" s="60">
        <f t="shared" si="4"/>
        <v>0</v>
      </c>
      <c r="M11" s="60">
        <f t="shared" si="5"/>
        <v>0</v>
      </c>
      <c r="N11" s="60">
        <f t="shared" si="6"/>
        <v>0</v>
      </c>
      <c r="O11" s="60">
        <f t="shared" si="7"/>
        <v>0</v>
      </c>
    </row>
    <row r="12" spans="1:19" s="8" customFormat="1" x14ac:dyDescent="0.25">
      <c r="A12" s="55">
        <v>5</v>
      </c>
      <c r="B12" s="56"/>
      <c r="C12" s="57">
        <v>0</v>
      </c>
      <c r="D12" s="58">
        <v>0</v>
      </c>
      <c r="E12" s="58">
        <v>0</v>
      </c>
      <c r="F12" s="58">
        <v>60</v>
      </c>
      <c r="G12" s="59">
        <v>0</v>
      </c>
      <c r="H12" s="60">
        <f t="shared" si="0"/>
        <v>0</v>
      </c>
      <c r="I12" s="60">
        <f t="shared" si="1"/>
        <v>60</v>
      </c>
      <c r="J12" s="60">
        <f t="shared" si="2"/>
        <v>0</v>
      </c>
      <c r="K12" s="60">
        <f t="shared" si="3"/>
        <v>0</v>
      </c>
      <c r="L12" s="60">
        <f t="shared" si="4"/>
        <v>0</v>
      </c>
      <c r="M12" s="60">
        <f t="shared" si="5"/>
        <v>0</v>
      </c>
      <c r="N12" s="60">
        <f t="shared" si="6"/>
        <v>0</v>
      </c>
      <c r="O12" s="60">
        <f t="shared" si="7"/>
        <v>0</v>
      </c>
    </row>
    <row r="13" spans="1:19" x14ac:dyDescent="0.3">
      <c r="A13" s="61">
        <v>6</v>
      </c>
      <c r="B13" s="56"/>
      <c r="C13" s="57">
        <v>0</v>
      </c>
      <c r="D13" s="62">
        <v>0</v>
      </c>
      <c r="E13" s="62">
        <v>0</v>
      </c>
      <c r="F13" s="62">
        <v>60</v>
      </c>
      <c r="G13" s="63">
        <v>0</v>
      </c>
      <c r="H13" s="60">
        <f t="shared" si="0"/>
        <v>0</v>
      </c>
      <c r="I13" s="60">
        <f t="shared" si="1"/>
        <v>60</v>
      </c>
      <c r="J13" s="60">
        <f t="shared" si="2"/>
        <v>0</v>
      </c>
      <c r="K13" s="60">
        <f t="shared" si="3"/>
        <v>0</v>
      </c>
      <c r="L13" s="60">
        <f t="shared" si="4"/>
        <v>0</v>
      </c>
      <c r="M13" s="64">
        <f t="shared" si="5"/>
        <v>0</v>
      </c>
      <c r="N13" s="60">
        <f t="shared" si="6"/>
        <v>0</v>
      </c>
      <c r="O13" s="60">
        <f t="shared" si="7"/>
        <v>0</v>
      </c>
    </row>
    <row r="14" spans="1:19" x14ac:dyDescent="0.3">
      <c r="A14" s="61">
        <v>7</v>
      </c>
      <c r="B14" s="56"/>
      <c r="C14" s="57">
        <v>0</v>
      </c>
      <c r="D14" s="62">
        <v>0</v>
      </c>
      <c r="E14" s="62">
        <v>0</v>
      </c>
      <c r="F14" s="62">
        <v>60</v>
      </c>
      <c r="G14" s="63">
        <v>0</v>
      </c>
      <c r="H14" s="60">
        <f t="shared" si="0"/>
        <v>0</v>
      </c>
      <c r="I14" s="60">
        <f t="shared" si="1"/>
        <v>60</v>
      </c>
      <c r="J14" s="60">
        <f t="shared" si="2"/>
        <v>0</v>
      </c>
      <c r="K14" s="60">
        <f t="shared" si="3"/>
        <v>0</v>
      </c>
      <c r="L14" s="60">
        <f t="shared" si="4"/>
        <v>0</v>
      </c>
      <c r="M14" s="64">
        <f t="shared" si="5"/>
        <v>0</v>
      </c>
      <c r="N14" s="60">
        <f t="shared" si="6"/>
        <v>0</v>
      </c>
      <c r="O14" s="60">
        <f t="shared" si="7"/>
        <v>0</v>
      </c>
    </row>
    <row r="15" spans="1:19" x14ac:dyDescent="0.3">
      <c r="A15" s="61">
        <v>8</v>
      </c>
      <c r="B15" s="56"/>
      <c r="C15" s="57">
        <v>0</v>
      </c>
      <c r="D15" s="62">
        <v>0</v>
      </c>
      <c r="E15" s="62">
        <v>0</v>
      </c>
      <c r="F15" s="62">
        <v>60</v>
      </c>
      <c r="G15" s="63">
        <v>0</v>
      </c>
      <c r="H15" s="60">
        <f t="shared" si="0"/>
        <v>0</v>
      </c>
      <c r="I15" s="60">
        <f t="shared" si="1"/>
        <v>60</v>
      </c>
      <c r="J15" s="60">
        <f t="shared" si="2"/>
        <v>0</v>
      </c>
      <c r="K15" s="60">
        <f t="shared" si="3"/>
        <v>0</v>
      </c>
      <c r="L15" s="60">
        <f t="shared" si="4"/>
        <v>0</v>
      </c>
      <c r="M15" s="64">
        <f t="shared" si="5"/>
        <v>0</v>
      </c>
      <c r="N15" s="60">
        <f t="shared" si="6"/>
        <v>0</v>
      </c>
      <c r="O15" s="60">
        <f t="shared" si="7"/>
        <v>0</v>
      </c>
    </row>
    <row r="16" spans="1:19" x14ac:dyDescent="0.3">
      <c r="A16" s="61"/>
      <c r="B16" s="65"/>
      <c r="C16" s="80">
        <f>SUM(C8:C15)</f>
        <v>6398</v>
      </c>
      <c r="D16" s="66"/>
      <c r="E16" s="66"/>
      <c r="F16" s="67"/>
      <c r="G16" s="60"/>
      <c r="H16" s="60"/>
      <c r="I16" s="60"/>
      <c r="J16" s="68"/>
      <c r="K16" s="60"/>
      <c r="L16" s="68"/>
      <c r="M16" s="60">
        <f>SUM(M8:M15)</f>
        <v>1919400</v>
      </c>
      <c r="N16" s="60">
        <f>SUM(N8:N15)</f>
        <v>10876600</v>
      </c>
      <c r="O16" s="60">
        <f>SUM(O8:O15)</f>
        <v>12796000</v>
      </c>
    </row>
    <row r="17" spans="1:15" x14ac:dyDescent="0.3">
      <c r="B17" s="7"/>
      <c r="C17" s="8"/>
      <c r="D17" s="8"/>
      <c r="E17" s="8"/>
      <c r="F17" s="9"/>
      <c r="G17" s="9"/>
      <c r="H17" s="9"/>
      <c r="I17" s="9"/>
      <c r="J17" s="8"/>
      <c r="K17" s="13"/>
      <c r="L17" s="14"/>
      <c r="M17" s="9"/>
      <c r="N17" s="24"/>
      <c r="O17" s="24"/>
    </row>
    <row r="18" spans="1:15" x14ac:dyDescent="0.3">
      <c r="B18" s="94" t="s">
        <v>16</v>
      </c>
      <c r="C18" s="94"/>
      <c r="D18" s="8"/>
      <c r="E18" s="8"/>
      <c r="F18" s="9"/>
      <c r="G18" s="9"/>
      <c r="H18" s="9"/>
      <c r="I18" s="9"/>
      <c r="J18" s="8"/>
      <c r="K18" s="13"/>
      <c r="L18" s="14"/>
      <c r="M18" s="9"/>
      <c r="N18" s="24"/>
      <c r="O18" s="24"/>
    </row>
    <row r="19" spans="1:15" x14ac:dyDescent="0.3">
      <c r="B19" s="20" t="s">
        <v>15</v>
      </c>
      <c r="C19" s="40">
        <v>0</v>
      </c>
      <c r="D19" s="8"/>
      <c r="E19" s="8"/>
      <c r="F19" s="9"/>
      <c r="G19" s="9"/>
      <c r="H19" s="9"/>
      <c r="I19" s="9"/>
      <c r="J19" s="8"/>
      <c r="K19" s="13"/>
      <c r="L19" s="14"/>
      <c r="M19" s="9"/>
      <c r="N19" s="24"/>
      <c r="O19" s="24"/>
    </row>
    <row r="20" spans="1:15" x14ac:dyDescent="0.3">
      <c r="B20" s="21" t="s">
        <v>5</v>
      </c>
      <c r="C20" s="37">
        <v>0</v>
      </c>
      <c r="D20" s="8"/>
      <c r="E20" s="8"/>
      <c r="F20" s="9"/>
      <c r="G20" s="9"/>
      <c r="H20" s="9"/>
      <c r="I20" s="9"/>
      <c r="J20" s="8"/>
      <c r="K20" s="13"/>
      <c r="L20" s="14"/>
      <c r="M20" s="9"/>
      <c r="N20" s="24"/>
      <c r="O20" s="24"/>
    </row>
    <row r="21" spans="1:15" x14ac:dyDescent="0.3">
      <c r="B21" s="21" t="s">
        <v>6</v>
      </c>
      <c r="C21" s="39">
        <f>ROUND((C19*C20),0)</f>
        <v>0</v>
      </c>
      <c r="D21" s="8"/>
      <c r="E21" s="8"/>
      <c r="F21" s="9"/>
      <c r="G21" s="9">
        <f>5300-2000</f>
        <v>3300</v>
      </c>
      <c r="H21" s="9"/>
      <c r="I21" s="9"/>
      <c r="J21" s="8"/>
      <c r="K21" s="13"/>
      <c r="L21" s="14"/>
      <c r="M21" s="9"/>
      <c r="N21" s="24"/>
      <c r="O21" s="24"/>
    </row>
    <row r="22" spans="1:15" x14ac:dyDescent="0.3">
      <c r="B22" s="7"/>
      <c r="C22" s="8"/>
      <c r="D22" s="8"/>
      <c r="E22" s="8"/>
      <c r="F22" s="9"/>
      <c r="G22" s="9"/>
      <c r="H22" s="9"/>
      <c r="I22" s="9"/>
      <c r="J22" s="8"/>
      <c r="K22" s="13"/>
      <c r="L22" s="14"/>
      <c r="M22" s="9"/>
      <c r="N22" s="24"/>
      <c r="O22" s="24"/>
    </row>
    <row r="23" spans="1:15" ht="22.5" customHeight="1" x14ac:dyDescent="0.3">
      <c r="B23" s="95" t="s">
        <v>13</v>
      </c>
      <c r="C23" s="96"/>
      <c r="D23" s="8"/>
      <c r="E23" s="8"/>
      <c r="F23" s="9"/>
      <c r="G23" s="9"/>
      <c r="H23" s="9"/>
      <c r="I23" s="9"/>
      <c r="J23" s="8"/>
      <c r="K23" s="9"/>
      <c r="L23" s="8"/>
      <c r="M23" s="9"/>
      <c r="N23" s="9"/>
      <c r="O23" s="9"/>
    </row>
    <row r="24" spans="1:15" x14ac:dyDescent="0.3">
      <c r="B24" s="20" t="s">
        <v>9</v>
      </c>
      <c r="C24" s="40">
        <v>0</v>
      </c>
      <c r="E24" s="25"/>
      <c r="F24" s="25"/>
      <c r="G24" s="26"/>
      <c r="H24" s="11"/>
      <c r="I24" s="11"/>
      <c r="L24" s="18"/>
    </row>
    <row r="25" spans="1:15" ht="17.25" thickBot="1" x14ac:dyDescent="0.35">
      <c r="B25" s="21" t="s">
        <v>5</v>
      </c>
      <c r="C25" s="37">
        <v>0</v>
      </c>
      <c r="D25" s="27"/>
      <c r="E25" s="19"/>
      <c r="F25" s="19"/>
      <c r="G25" s="13"/>
      <c r="H25" s="11"/>
      <c r="I25" s="11"/>
      <c r="L25" s="18"/>
    </row>
    <row r="26" spans="1:15" ht="33.75" thickBot="1" x14ac:dyDescent="0.35">
      <c r="B26" s="21" t="s">
        <v>6</v>
      </c>
      <c r="C26" s="39">
        <f>ROUND((C24*C25),0)</f>
        <v>0</v>
      </c>
      <c r="D26" s="6"/>
      <c r="E26" s="6"/>
      <c r="F26" s="18"/>
      <c r="H26" s="11"/>
      <c r="I26" s="69" t="s">
        <v>22</v>
      </c>
      <c r="J26" s="70" t="s">
        <v>43</v>
      </c>
      <c r="K26" s="70" t="s">
        <v>44</v>
      </c>
      <c r="L26" s="18"/>
    </row>
    <row r="27" spans="1:15" ht="17.25" thickBot="1" x14ac:dyDescent="0.35">
      <c r="B27" s="36"/>
      <c r="C27" s="16"/>
      <c r="D27" s="6"/>
      <c r="E27" s="6"/>
      <c r="F27" s="18"/>
      <c r="H27" s="11"/>
      <c r="I27" s="71" t="s">
        <v>45</v>
      </c>
      <c r="J27" s="73">
        <v>602.22299999999996</v>
      </c>
      <c r="K27" s="74">
        <f>MROUND(J27*10.764,1)</f>
        <v>6482</v>
      </c>
      <c r="L27" s="18"/>
    </row>
    <row r="28" spans="1:15" ht="17.25" thickBot="1" x14ac:dyDescent="0.35">
      <c r="C28" s="6" t="s">
        <v>18</v>
      </c>
      <c r="D28" s="6"/>
      <c r="E28" s="6"/>
      <c r="F28" s="18"/>
      <c r="H28" s="11"/>
      <c r="I28" s="71" t="s">
        <v>46</v>
      </c>
      <c r="J28" s="73">
        <v>620.43600000000004</v>
      </c>
      <c r="K28" s="74">
        <f t="shared" ref="K28:K29" si="8">MROUND(J28*10.764,1)</f>
        <v>6678</v>
      </c>
      <c r="L28" s="18"/>
    </row>
    <row r="29" spans="1:15" ht="17.25" thickBot="1" x14ac:dyDescent="0.35">
      <c r="B29" s="2" t="s">
        <v>11</v>
      </c>
      <c r="C29" s="45">
        <f>C4</f>
        <v>11516400</v>
      </c>
      <c r="D29" s="16"/>
      <c r="E29" s="16"/>
      <c r="F29" s="16"/>
      <c r="G29" s="16"/>
      <c r="H29" s="17"/>
      <c r="I29" s="72" t="s">
        <v>47</v>
      </c>
      <c r="J29" s="73">
        <f>SUM(J27:J28)</f>
        <v>1222.6590000000001</v>
      </c>
      <c r="K29" s="74">
        <f t="shared" si="8"/>
        <v>13161</v>
      </c>
      <c r="L29" s="15"/>
    </row>
    <row r="30" spans="1:15" x14ac:dyDescent="0.3">
      <c r="B30" s="2" t="s">
        <v>12</v>
      </c>
      <c r="C30" s="45">
        <f>N16</f>
        <v>10876600</v>
      </c>
      <c r="D30" s="16"/>
      <c r="E30" s="16"/>
      <c r="F30" s="16"/>
      <c r="G30" s="16"/>
      <c r="H30" s="17"/>
      <c r="I30" s="17"/>
      <c r="L30" s="17"/>
    </row>
    <row r="31" spans="1:15" ht="17.25" thickBot="1" x14ac:dyDescent="0.35">
      <c r="B31" s="2" t="s">
        <v>17</v>
      </c>
      <c r="C31" s="45">
        <f>C21</f>
        <v>0</v>
      </c>
      <c r="D31" s="16"/>
      <c r="E31" s="16"/>
      <c r="F31" s="16"/>
      <c r="G31" s="16"/>
      <c r="H31" s="17"/>
      <c r="I31" s="17"/>
      <c r="L31" s="17"/>
    </row>
    <row r="32" spans="1:15" ht="33.75" thickBot="1" x14ac:dyDescent="0.35">
      <c r="A32" s="1"/>
      <c r="B32" s="2" t="s">
        <v>10</v>
      </c>
      <c r="C32" s="45">
        <f>C26</f>
        <v>0</v>
      </c>
      <c r="D32" s="16"/>
      <c r="E32" s="16"/>
      <c r="F32" s="69" t="s">
        <v>22</v>
      </c>
      <c r="G32" s="70" t="s">
        <v>43</v>
      </c>
      <c r="H32" s="70" t="s">
        <v>44</v>
      </c>
      <c r="I32" s="17"/>
      <c r="L32" s="17"/>
    </row>
    <row r="33" spans="1:15" ht="17.25" thickBot="1" x14ac:dyDescent="0.35">
      <c r="A33" s="1"/>
      <c r="B33" s="10" t="s">
        <v>42</v>
      </c>
      <c r="C33" s="46">
        <f>C29+C30+C31+C32</f>
        <v>22393000</v>
      </c>
      <c r="D33" s="15"/>
      <c r="F33" s="71" t="s">
        <v>45</v>
      </c>
      <c r="G33" s="73">
        <v>565.34</v>
      </c>
      <c r="H33" s="74">
        <f>MROUND(G33*10.764,1)</f>
        <v>6085</v>
      </c>
    </row>
    <row r="34" spans="1:15" ht="17.25" thickBot="1" x14ac:dyDescent="0.35">
      <c r="A34" s="1"/>
      <c r="B34" s="10" t="s">
        <v>7</v>
      </c>
      <c r="C34" s="46">
        <f>MROUND(C33*90%,1)</f>
        <v>20153700</v>
      </c>
      <c r="D34" s="17"/>
      <c r="F34" s="71" t="s">
        <v>46</v>
      </c>
      <c r="G34" s="73">
        <v>594.4</v>
      </c>
      <c r="H34" s="74">
        <f t="shared" ref="H34:H35" si="9">MROUND(G34*10.764,1)</f>
        <v>6398</v>
      </c>
      <c r="I34" s="29"/>
    </row>
    <row r="35" spans="1:15" ht="17.25" thickBot="1" x14ac:dyDescent="0.35">
      <c r="A35" s="1"/>
      <c r="B35" s="10" t="s">
        <v>8</v>
      </c>
      <c r="C35" s="46">
        <f>MROUND(C33*80%,1)</f>
        <v>17914400</v>
      </c>
      <c r="D35" s="17"/>
      <c r="F35" s="72" t="s">
        <v>47</v>
      </c>
      <c r="G35" s="73">
        <f>SUM(G33:G34)</f>
        <v>1159.74</v>
      </c>
      <c r="H35" s="74">
        <f t="shared" si="9"/>
        <v>12483</v>
      </c>
      <c r="I35" s="29"/>
      <c r="J35" s="1" t="s">
        <v>49</v>
      </c>
      <c r="K35" s="5">
        <v>4500</v>
      </c>
      <c r="L35" s="76">
        <v>6085</v>
      </c>
      <c r="M35" s="78">
        <f>K35*L35</f>
        <v>27382500</v>
      </c>
      <c r="O35" s="5">
        <v>2000</v>
      </c>
    </row>
    <row r="36" spans="1:15" s="8" customFormat="1" ht="17.25" thickBot="1" x14ac:dyDescent="0.35">
      <c r="B36" s="41" t="s">
        <v>37</v>
      </c>
      <c r="C36" s="47">
        <f>MROUND(C30*0.85,1)</f>
        <v>9245110</v>
      </c>
      <c r="D36" s="7"/>
      <c r="F36" s="9"/>
      <c r="G36" s="9"/>
      <c r="H36" s="9"/>
      <c r="I36" s="9"/>
      <c r="J36" s="8" t="s">
        <v>50</v>
      </c>
      <c r="K36" s="9">
        <v>3500</v>
      </c>
      <c r="L36" s="77">
        <v>6398</v>
      </c>
      <c r="M36" s="78">
        <f>K36*L36</f>
        <v>22393000</v>
      </c>
      <c r="N36" s="9"/>
      <c r="O36" s="30"/>
    </row>
    <row r="37" spans="1:15" x14ac:dyDescent="0.3">
      <c r="A37" s="1"/>
      <c r="L37" s="79">
        <f>SUM(L35:L36)</f>
        <v>12483</v>
      </c>
      <c r="M37" s="78">
        <f>SUM(M35:M36)</f>
        <v>49775500</v>
      </c>
      <c r="O37" s="30"/>
    </row>
    <row r="38" spans="1:15" x14ac:dyDescent="0.3">
      <c r="A38" s="1"/>
      <c r="L38" s="31"/>
      <c r="M38" s="105">
        <f>M37*0.9</f>
        <v>44797950</v>
      </c>
      <c r="O38" s="30"/>
    </row>
    <row r="39" spans="1:15" x14ac:dyDescent="0.3">
      <c r="A39" s="1"/>
      <c r="H39" s="29"/>
      <c r="I39" s="29"/>
      <c r="L39" s="31"/>
      <c r="M39" s="105">
        <f>M37*0.8</f>
        <v>39820400</v>
      </c>
      <c r="O39" s="30"/>
    </row>
    <row r="40" spans="1:15" x14ac:dyDescent="0.3">
      <c r="A40" s="1"/>
      <c r="L40" s="31"/>
      <c r="O40" s="30"/>
    </row>
    <row r="41" spans="1:15" x14ac:dyDescent="0.3">
      <c r="A41" s="1"/>
      <c r="L41" s="31"/>
      <c r="O41" s="30"/>
    </row>
    <row r="42" spans="1:15" x14ac:dyDescent="0.3">
      <c r="A42" s="1"/>
      <c r="L42" s="31"/>
      <c r="O42" s="30"/>
    </row>
    <row r="43" spans="1:15" x14ac:dyDescent="0.3">
      <c r="A43" s="1"/>
      <c r="L43" s="31"/>
      <c r="O43" s="30"/>
    </row>
    <row r="44" spans="1:15" x14ac:dyDescent="0.3">
      <c r="A44" s="1"/>
    </row>
    <row r="45" spans="1:15" ht="17.25" thickBot="1" x14ac:dyDescent="0.35">
      <c r="A45" s="1"/>
    </row>
    <row r="46" spans="1:15" ht="33" x14ac:dyDescent="0.3">
      <c r="A46" s="1"/>
      <c r="B46" s="1"/>
      <c r="E46" s="97" t="s">
        <v>22</v>
      </c>
      <c r="F46" s="85" t="s">
        <v>61</v>
      </c>
      <c r="G46" s="87" t="s">
        <v>68</v>
      </c>
      <c r="H46" s="87" t="s">
        <v>67</v>
      </c>
    </row>
    <row r="47" spans="1:15" ht="17.25" thickBot="1" x14ac:dyDescent="0.35">
      <c r="A47" s="1"/>
      <c r="B47" s="1"/>
      <c r="E47" s="98"/>
      <c r="F47" s="86" t="s">
        <v>62</v>
      </c>
      <c r="G47" s="86" t="s">
        <v>64</v>
      </c>
      <c r="H47" s="86" t="s">
        <v>64</v>
      </c>
    </row>
    <row r="48" spans="1:15" ht="17.25" thickBot="1" x14ac:dyDescent="0.35">
      <c r="A48" s="1"/>
      <c r="B48" s="1"/>
      <c r="E48" s="99" t="s">
        <v>45</v>
      </c>
      <c r="F48" s="89">
        <v>6085</v>
      </c>
      <c r="G48" s="89">
        <v>4800</v>
      </c>
      <c r="H48" s="89">
        <f>F48*G48</f>
        <v>29208000</v>
      </c>
    </row>
    <row r="49" spans="1:10" ht="17.25" thickBot="1" x14ac:dyDescent="0.35">
      <c r="A49" s="1"/>
      <c r="B49" s="1"/>
      <c r="E49" s="99" t="s">
        <v>46</v>
      </c>
      <c r="F49" s="89">
        <v>6398</v>
      </c>
      <c r="G49" s="89">
        <v>3800</v>
      </c>
      <c r="H49" s="89">
        <f t="shared" ref="H49:H50" si="10">F49*G49</f>
        <v>24312400</v>
      </c>
    </row>
    <row r="50" spans="1:10" ht="17.25" thickBot="1" x14ac:dyDescent="0.35">
      <c r="A50" s="1"/>
      <c r="B50" s="1"/>
      <c r="E50" s="91" t="s">
        <v>47</v>
      </c>
      <c r="F50" s="101">
        <v>12483</v>
      </c>
      <c r="G50" s="100"/>
      <c r="H50" s="89">
        <f>SUM(H48:H49)</f>
        <v>53520400</v>
      </c>
    </row>
    <row r="51" spans="1:10" x14ac:dyDescent="0.3">
      <c r="A51" s="1"/>
      <c r="B51" s="1"/>
      <c r="H51" s="16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  <c r="E54" s="106">
        <v>24966000</v>
      </c>
      <c r="F54" s="107">
        <v>3744900</v>
      </c>
      <c r="G54" s="16">
        <f>E54-F54</f>
        <v>21221100</v>
      </c>
      <c r="H54" s="78">
        <f>G54*0.85</f>
        <v>18037935</v>
      </c>
    </row>
    <row r="55" spans="1:10" x14ac:dyDescent="0.3">
      <c r="A55" s="1"/>
      <c r="B55" s="1"/>
      <c r="F55" s="32"/>
      <c r="G55" s="32"/>
      <c r="H55" s="32"/>
      <c r="I55" s="32"/>
      <c r="J55" s="10"/>
    </row>
    <row r="56" spans="1:10" x14ac:dyDescent="0.3">
      <c r="A56" s="1"/>
      <c r="B56" s="1"/>
      <c r="F56" s="30"/>
      <c r="G56" s="1"/>
      <c r="H56" s="30"/>
      <c r="I56" s="30"/>
    </row>
    <row r="57" spans="1:10" x14ac:dyDescent="0.3">
      <c r="A57" s="1"/>
      <c r="B57" s="1"/>
      <c r="F57" s="30"/>
      <c r="G57" s="30"/>
      <c r="H57" s="33"/>
      <c r="I57" s="33"/>
    </row>
    <row r="58" spans="1:10" x14ac:dyDescent="0.3">
      <c r="A58" s="1"/>
      <c r="B58" s="1"/>
      <c r="F58" s="30"/>
      <c r="G58" s="30"/>
      <c r="H58" s="30"/>
      <c r="I58" s="30"/>
    </row>
    <row r="59" spans="1:10" x14ac:dyDescent="0.3">
      <c r="A59" s="1"/>
      <c r="B59" s="1"/>
      <c r="F59" s="30"/>
      <c r="G59" s="34"/>
      <c r="H59" s="30"/>
      <c r="I59" s="30"/>
    </row>
    <row r="60" spans="1:10" x14ac:dyDescent="0.3">
      <c r="A60" s="1"/>
      <c r="B60" s="1"/>
      <c r="F60" s="30"/>
      <c r="G60" s="30"/>
      <c r="H60" s="30"/>
      <c r="I60" s="30"/>
    </row>
    <row r="61" spans="1:10" x14ac:dyDescent="0.3">
      <c r="A61" s="1"/>
      <c r="B61" s="1"/>
      <c r="F61" s="30"/>
      <c r="G61" s="30"/>
      <c r="H61" s="30"/>
      <c r="I61" s="30"/>
    </row>
    <row r="62" spans="1:10" x14ac:dyDescent="0.3">
      <c r="A62" s="1"/>
      <c r="B62" s="1"/>
      <c r="F62" s="30"/>
      <c r="G62" s="30"/>
      <c r="H62" s="30"/>
      <c r="I62" s="30"/>
    </row>
    <row r="63" spans="1:10" x14ac:dyDescent="0.3">
      <c r="A63" s="1"/>
      <c r="B63" s="1"/>
      <c r="F63" s="30"/>
      <c r="G63" s="30"/>
      <c r="H63" s="30"/>
      <c r="I63" s="30"/>
    </row>
    <row r="64" spans="1:10" x14ac:dyDescent="0.3">
      <c r="A64" s="1"/>
      <c r="B64" s="1"/>
      <c r="F64" s="30"/>
      <c r="G64" s="30"/>
      <c r="H64" s="30"/>
      <c r="I64" s="30"/>
    </row>
    <row r="65" spans="1:9" x14ac:dyDescent="0.3">
      <c r="A65" s="1"/>
      <c r="B65" s="1"/>
      <c r="F65" s="30"/>
      <c r="G65" s="30"/>
      <c r="H65" s="30"/>
      <c r="I65" s="30"/>
    </row>
    <row r="66" spans="1:9" x14ac:dyDescent="0.3">
      <c r="A66" s="1"/>
      <c r="B66" s="1"/>
    </row>
    <row r="67" spans="1:9" x14ac:dyDescent="0.3">
      <c r="A67" s="1"/>
      <c r="B67" s="1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  <c r="F71" s="35"/>
    </row>
    <row r="72" spans="1:9" x14ac:dyDescent="0.3">
      <c r="A72" s="1"/>
      <c r="B72" s="1"/>
      <c r="F72" s="35"/>
    </row>
    <row r="73" spans="1:9" x14ac:dyDescent="0.3">
      <c r="A73" s="1"/>
      <c r="B73" s="1"/>
      <c r="F73" s="35"/>
    </row>
    <row r="74" spans="1:9" x14ac:dyDescent="0.3">
      <c r="A74" s="1"/>
      <c r="B74" s="1"/>
      <c r="F74" s="35"/>
    </row>
    <row r="75" spans="1:9" x14ac:dyDescent="0.3">
      <c r="A75" s="1"/>
      <c r="B75" s="1"/>
      <c r="F75" s="35"/>
    </row>
    <row r="76" spans="1:9" x14ac:dyDescent="0.3">
      <c r="A76" s="1"/>
      <c r="B76" s="1"/>
      <c r="F76" s="35"/>
    </row>
    <row r="77" spans="1:9" x14ac:dyDescent="0.3">
      <c r="A77" s="1"/>
      <c r="B77" s="1"/>
      <c r="F77" s="35"/>
    </row>
    <row r="78" spans="1:9" x14ac:dyDescent="0.3">
      <c r="A78" s="1"/>
      <c r="B78" s="1"/>
      <c r="F78" s="35"/>
    </row>
    <row r="79" spans="1:9" x14ac:dyDescent="0.3">
      <c r="A79" s="1"/>
      <c r="B79" s="1"/>
      <c r="F79" s="35"/>
    </row>
    <row r="80" spans="1:9" x14ac:dyDescent="0.3">
      <c r="A80" s="1"/>
      <c r="B80" s="1"/>
      <c r="F80" s="35"/>
    </row>
    <row r="81" spans="1:2" x14ac:dyDescent="0.3">
      <c r="A81" s="1"/>
      <c r="B81" s="1"/>
    </row>
    <row r="82" spans="1:2" x14ac:dyDescent="0.3">
      <c r="A82" s="1"/>
      <c r="B82" s="1"/>
    </row>
    <row r="83" spans="1:2" x14ac:dyDescent="0.3">
      <c r="A83" s="1"/>
      <c r="B83" s="1"/>
    </row>
    <row r="84" spans="1:2" x14ac:dyDescent="0.3">
      <c r="A84" s="1"/>
      <c r="B84" s="1"/>
    </row>
    <row r="85" spans="1:2" x14ac:dyDescent="0.3">
      <c r="A85" s="1"/>
      <c r="B85" s="1"/>
    </row>
    <row r="86" spans="1:2" x14ac:dyDescent="0.3">
      <c r="A86" s="1"/>
      <c r="B86" s="1"/>
    </row>
    <row r="87" spans="1:2" x14ac:dyDescent="0.3">
      <c r="A87" s="1"/>
      <c r="B87" s="1"/>
    </row>
    <row r="88" spans="1:2" x14ac:dyDescent="0.3">
      <c r="A88" s="1"/>
      <c r="B88" s="1"/>
    </row>
    <row r="89" spans="1:2" x14ac:dyDescent="0.3">
      <c r="A89" s="1"/>
      <c r="B89" s="1"/>
    </row>
    <row r="90" spans="1:2" x14ac:dyDescent="0.3">
      <c r="A90" s="1"/>
      <c r="B90" s="1"/>
    </row>
    <row r="91" spans="1:2" x14ac:dyDescent="0.3">
      <c r="A91" s="1"/>
      <c r="B91" s="1"/>
    </row>
    <row r="92" spans="1:2" x14ac:dyDescent="0.3">
      <c r="A92" s="1"/>
      <c r="B92" s="1"/>
    </row>
    <row r="93" spans="1:2" x14ac:dyDescent="0.3">
      <c r="A93" s="1"/>
      <c r="B93" s="1"/>
    </row>
    <row r="94" spans="1:2" x14ac:dyDescent="0.3">
      <c r="A94" s="1"/>
      <c r="B94" s="1"/>
    </row>
    <row r="95" spans="1:2" x14ac:dyDescent="0.3">
      <c r="A95" s="1"/>
      <c r="B95" s="1"/>
    </row>
    <row r="96" spans="1:2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</sheetData>
  <mergeCells count="3">
    <mergeCell ref="B18:C18"/>
    <mergeCell ref="B23:C23"/>
    <mergeCell ref="E46:E4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70BC-2021-4420-A10A-924FDE9FB362}">
  <dimension ref="P7:Q7"/>
  <sheetViews>
    <sheetView workbookViewId="0">
      <selection activeCell="Q7" sqref="Q7"/>
    </sheetView>
  </sheetViews>
  <sheetFormatPr defaultRowHeight="15" x14ac:dyDescent="0.25"/>
  <sheetData>
    <row r="7" spans="16:17" x14ac:dyDescent="0.25">
      <c r="P7">
        <v>10833</v>
      </c>
      <c r="Q7">
        <f>P7/1.2</f>
        <v>9027.5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C294-D4CD-4D7E-AC3A-C812736102DE}">
  <dimension ref="T13:U13"/>
  <sheetViews>
    <sheetView workbookViewId="0">
      <selection activeCell="U13" sqref="U13"/>
    </sheetView>
  </sheetViews>
  <sheetFormatPr defaultRowHeight="15" x14ac:dyDescent="0.25"/>
  <sheetData>
    <row r="13" spans="20:21" x14ac:dyDescent="0.25">
      <c r="T13">
        <f>3886000/626</f>
        <v>6207.6677316293926</v>
      </c>
      <c r="U13">
        <f>T13/1.2</f>
        <v>5173.056443024494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4136A-26F9-4739-80E3-A84D40E4A678}">
  <dimension ref="A1"/>
  <sheetViews>
    <sheetView workbookViewId="0">
      <selection activeCell="A13" sqref="A1:XFD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8757-6BB9-4473-B05F-0E063B0F4AD8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A779-E122-443A-9A05-172E9513C430}">
  <dimension ref="B60"/>
  <sheetViews>
    <sheetView topLeftCell="A10" workbookViewId="0">
      <selection activeCell="C60" sqref="C60"/>
    </sheetView>
  </sheetViews>
  <sheetFormatPr defaultRowHeight="15" x14ac:dyDescent="0.25"/>
  <sheetData>
    <row r="60" spans="2:2" x14ac:dyDescent="0.25">
      <c r="B60">
        <v>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2E6F3-1662-4EE1-8D0A-F68F4F38A09F}">
  <dimension ref="A1"/>
  <sheetViews>
    <sheetView topLeftCell="C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A3985-726A-44C1-B2E7-4AA7831557A5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Valuation</vt:lpstr>
      <vt:lpstr>Sheet13</vt:lpstr>
      <vt:lpstr>Sheet1</vt:lpstr>
      <vt:lpstr>Sheet2</vt:lpstr>
      <vt:lpstr>Sheet3</vt:lpstr>
      <vt:lpstr>Sheet4</vt:lpstr>
      <vt:lpstr>Sheet5</vt:lpstr>
      <vt:lpstr>Sheet7</vt:lpstr>
      <vt:lpstr>Sheet8</vt:lpstr>
      <vt:lpstr>Sheet9</vt:lpstr>
      <vt:lpstr>Sheet10</vt:lpstr>
      <vt:lpstr>Sheet11</vt:lpstr>
      <vt:lpstr>Sheet12</vt:lpstr>
      <vt:lpstr>Sheet14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2024-08-13T07:41:13Z</dcterms:modified>
</cp:coreProperties>
</file>