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defaultThemeVersion="124226"/>
  <mc:AlternateContent xmlns:mc="http://schemas.openxmlformats.org/markup-compatibility/2006">
    <mc:Choice Requires="x15">
      <x15ac:absPath xmlns:x15ac="http://schemas.microsoft.com/office/spreadsheetml/2010/11/ac" url="D:\Report Making Cases\Shree Kapol Anand Mangal Trust - Bhayandar (W)\New folder\"/>
    </mc:Choice>
  </mc:AlternateContent>
  <xr:revisionPtr revIDLastSave="0" documentId="13_ncr:1_{592DBD1D-4BD3-4678-A40F-7072B4276104}" xr6:coauthVersionLast="47" xr6:coauthVersionMax="47" xr10:uidLastSave="{00000000-0000-0000-0000-000000000000}"/>
  <bookViews>
    <workbookView xWindow="-120" yWindow="-120" windowWidth="29040" windowHeight="15720" xr2:uid="{00000000-000D-0000-FFFF-FFFF00000000}"/>
  </bookViews>
  <sheets>
    <sheet name="Bhayender" sheetId="5" r:id="rId1"/>
  </sheets>
  <calcPr calcId="191029"/>
</workbook>
</file>

<file path=xl/calcChain.xml><?xml version="1.0" encoding="utf-8"?>
<calcChain xmlns="http://schemas.openxmlformats.org/spreadsheetml/2006/main">
  <c r="E53" i="5" l="1"/>
  <c r="F34" i="5"/>
  <c r="F22" i="5"/>
  <c r="O42" i="5"/>
  <c r="E46" i="5"/>
  <c r="O37" i="5"/>
  <c r="O5" i="5"/>
  <c r="R5" i="5" s="1"/>
  <c r="F9" i="5"/>
  <c r="M43" i="5" s="1"/>
  <c r="P43" i="5" s="1"/>
  <c r="E59" i="5"/>
  <c r="F29" i="5"/>
  <c r="E29" i="5" s="1"/>
  <c r="F4" i="5"/>
  <c r="O19" i="5" s="1"/>
  <c r="F17" i="5"/>
  <c r="E17" i="5" s="1"/>
  <c r="E13" i="5"/>
  <c r="E12" i="5"/>
  <c r="E11" i="5"/>
  <c r="Q22" i="5"/>
  <c r="P18" i="5"/>
  <c r="P51" i="5"/>
  <c r="Q42" i="5"/>
  <c r="M6" i="5" l="1"/>
  <c r="P6" i="5" s="1"/>
  <c r="E38" i="5" s="1"/>
  <c r="M35" i="5"/>
  <c r="O20" i="5"/>
  <c r="O17" i="5"/>
  <c r="F14" i="5" l="1"/>
  <c r="F15" i="5" l="1"/>
  <c r="E14" i="5"/>
  <c r="E15" i="5" l="1"/>
  <c r="M12" i="5"/>
  <c r="F16" i="5"/>
  <c r="F18" i="5" s="1"/>
  <c r="M23" i="5"/>
  <c r="P23" i="5" s="1"/>
  <c r="F20" i="5" l="1"/>
  <c r="E20" i="5" s="1"/>
  <c r="E18" i="5"/>
  <c r="F21" i="5"/>
  <c r="P12" i="5"/>
  <c r="E22" i="5"/>
  <c r="E16" i="5"/>
  <c r="F24" i="5" l="1"/>
  <c r="F25" i="5" s="1"/>
  <c r="M24" i="5"/>
  <c r="P24" i="5" s="1"/>
  <c r="M20" i="5"/>
  <c r="E21" i="5"/>
  <c r="Q36" i="5"/>
  <c r="Q44" i="5" s="1"/>
  <c r="M25" i="5" l="1"/>
  <c r="E24" i="5"/>
  <c r="F26" i="5"/>
  <c r="Q29" i="5"/>
  <c r="P20" i="5"/>
  <c r="P35" i="5"/>
  <c r="E49" i="5" s="1"/>
  <c r="M56" i="5" l="1"/>
  <c r="P56" i="5" s="1"/>
  <c r="P25" i="5"/>
  <c r="P26" i="5" s="1"/>
  <c r="E48" i="5" s="1"/>
  <c r="M19" i="5"/>
  <c r="P19" i="5" s="1"/>
  <c r="E45" i="5" s="1"/>
  <c r="E25" i="5"/>
  <c r="E26" i="5"/>
  <c r="F27" i="5"/>
  <c r="F30" i="5" l="1"/>
  <c r="F31" i="5" s="1"/>
  <c r="P21" i="5"/>
  <c r="M37" i="5"/>
  <c r="F33" i="5"/>
  <c r="M5" i="5" s="1"/>
  <c r="E27" i="5"/>
  <c r="E33" i="5" l="1"/>
  <c r="M13" i="5"/>
  <c r="E30" i="5"/>
  <c r="E31" i="5" l="1"/>
  <c r="E58" i="5" s="1"/>
  <c r="P13" i="5"/>
  <c r="P15" i="5" s="1"/>
  <c r="M40" i="5"/>
  <c r="P40" i="5" s="1"/>
  <c r="M39" i="5"/>
  <c r="P39" i="5" s="1"/>
  <c r="E34" i="5"/>
  <c r="G32" i="5" l="1"/>
  <c r="E60" i="5"/>
  <c r="M9" i="5"/>
  <c r="M10" i="5" s="1"/>
  <c r="M28" i="5"/>
  <c r="P5" i="5"/>
  <c r="P10" i="5" l="1"/>
  <c r="M42" i="5"/>
  <c r="P42" i="5" s="1"/>
  <c r="M27" i="5"/>
  <c r="E37" i="5"/>
  <c r="E39" i="5" s="1"/>
  <c r="P9" i="5"/>
  <c r="M49" i="5"/>
  <c r="P49" i="5" s="1"/>
  <c r="P52" i="5" s="1"/>
  <c r="E52" i="5" s="1"/>
  <c r="P7" i="5"/>
  <c r="P27" i="5" l="1"/>
  <c r="M29" i="5"/>
  <c r="P8" i="5"/>
  <c r="M41" i="5"/>
  <c r="M38" i="5"/>
  <c r="P38" i="5" s="1"/>
  <c r="P37" i="5"/>
  <c r="P29" i="5" l="1"/>
  <c r="M30" i="5"/>
  <c r="P30" i="5" s="1"/>
  <c r="M45" i="5"/>
  <c r="P41" i="5"/>
  <c r="P44" i="5" s="1"/>
  <c r="P31" i="5" l="1"/>
  <c r="E47" i="5" s="1"/>
  <c r="E50" i="5"/>
  <c r="P45" i="5"/>
  <c r="M46" i="5"/>
  <c r="M47" i="5" l="1"/>
  <c r="P47" i="5" s="1"/>
  <c r="P46" i="5"/>
  <c r="P48" i="5" l="1"/>
  <c r="E51" i="5" l="1"/>
  <c r="P53" i="5"/>
  <c r="E54" i="5" s="1"/>
  <c r="E55" i="5" s="1"/>
  <c r="E61" i="5" l="1"/>
  <c r="M55" i="5"/>
  <c r="P55" i="5" s="1"/>
  <c r="P57" i="5" s="1"/>
</calcChain>
</file>

<file path=xl/sharedStrings.xml><?xml version="1.0" encoding="utf-8"?>
<sst xmlns="http://schemas.openxmlformats.org/spreadsheetml/2006/main" count="252" uniqueCount="180">
  <si>
    <t>A</t>
  </si>
  <si>
    <t>B</t>
  </si>
  <si>
    <t>C</t>
  </si>
  <si>
    <t>D</t>
  </si>
  <si>
    <t>E</t>
  </si>
  <si>
    <t>Sr. No.</t>
  </si>
  <si>
    <t>Particulars</t>
  </si>
  <si>
    <t>Formula/ Reference</t>
  </si>
  <si>
    <t>Built up Area Summary</t>
  </si>
  <si>
    <t>Sqmts</t>
  </si>
  <si>
    <t>Village</t>
  </si>
  <si>
    <t>USE</t>
  </si>
  <si>
    <t>Road Setback</t>
  </si>
  <si>
    <t>Zone</t>
  </si>
  <si>
    <t>Plot</t>
  </si>
  <si>
    <t>CTS  No.</t>
  </si>
  <si>
    <t>Total Deductions</t>
  </si>
  <si>
    <t>Office/Comm</t>
  </si>
  <si>
    <t>Net Plot Area</t>
  </si>
  <si>
    <t xml:space="preserve">Shop/Comm </t>
  </si>
  <si>
    <t>Additional Construction Area</t>
  </si>
  <si>
    <t>Commercial</t>
  </si>
  <si>
    <t>Residential</t>
  </si>
  <si>
    <t>Sr. No</t>
  </si>
  <si>
    <t>Main Head</t>
  </si>
  <si>
    <t>Sr.No.</t>
  </si>
  <si>
    <t>Sub Head</t>
  </si>
  <si>
    <t>Qty Cost</t>
  </si>
  <si>
    <t>Unit</t>
  </si>
  <si>
    <t>Estimated Cost</t>
  </si>
  <si>
    <t>F</t>
  </si>
  <si>
    <t>G</t>
  </si>
  <si>
    <t>H</t>
  </si>
  <si>
    <t>Cost of Construction</t>
  </si>
  <si>
    <t>a</t>
  </si>
  <si>
    <t>sqmts</t>
  </si>
  <si>
    <t>b</t>
  </si>
  <si>
    <t>Total</t>
  </si>
  <si>
    <t>c</t>
  </si>
  <si>
    <t>d</t>
  </si>
  <si>
    <t>Cost escalation</t>
  </si>
  <si>
    <t>%</t>
  </si>
  <si>
    <t xml:space="preserve">Premiums &amp; Official payments </t>
  </si>
  <si>
    <t>Scrutiny fees</t>
  </si>
  <si>
    <t>IOD deposit</t>
  </si>
  <si>
    <t>Development Charges</t>
  </si>
  <si>
    <t>i</t>
  </si>
  <si>
    <t>Plot potential</t>
  </si>
  <si>
    <t>ii</t>
  </si>
  <si>
    <t>iii</t>
  </si>
  <si>
    <t>e</t>
  </si>
  <si>
    <t>f</t>
  </si>
  <si>
    <t>g</t>
  </si>
  <si>
    <t>h</t>
  </si>
  <si>
    <t>Labour Cess</t>
  </si>
  <si>
    <t>j</t>
  </si>
  <si>
    <t>CFO Capitition fees</t>
  </si>
  <si>
    <t>k</t>
  </si>
  <si>
    <t>Extra Water Sewerage Charges</t>
  </si>
  <si>
    <t>l</t>
  </si>
  <si>
    <t>LUC for 1.5 years</t>
  </si>
  <si>
    <t>m</t>
  </si>
  <si>
    <t>Open Space Deficiency</t>
  </si>
  <si>
    <t>Land Cost</t>
  </si>
  <si>
    <t>Months</t>
  </si>
  <si>
    <t>L.S.</t>
  </si>
  <si>
    <t>Professional fees</t>
  </si>
  <si>
    <t xml:space="preserve">Legal advisory for property transfer docs </t>
  </si>
  <si>
    <t>Designing Architect</t>
  </si>
  <si>
    <t>Consulting Architect</t>
  </si>
  <si>
    <t>License Surveyor</t>
  </si>
  <si>
    <t>Laisoning in other departments</t>
  </si>
  <si>
    <t>RCC Consultant</t>
  </si>
  <si>
    <t>MEP Consultant</t>
  </si>
  <si>
    <t>Plan Approval Cost</t>
  </si>
  <si>
    <t>Misc. approval Cost</t>
  </si>
  <si>
    <t>CFO approval Cost</t>
  </si>
  <si>
    <t>Site Related Cost</t>
  </si>
  <si>
    <t>Geo physical &amp; concrete cube testing charges</t>
  </si>
  <si>
    <t xml:space="preserve">Minor mineral excavation royalty </t>
  </si>
  <si>
    <t>Misc site related expences.</t>
  </si>
  <si>
    <t>Grand Total</t>
  </si>
  <si>
    <t>Finance Cost</t>
  </si>
  <si>
    <t>Interest on Project Cost for 18 Months (Excluding Deferrments)</t>
  </si>
  <si>
    <t>Subject to proposed plans</t>
  </si>
  <si>
    <t>Income generated from Sales</t>
  </si>
  <si>
    <t>Cost of the Project</t>
  </si>
  <si>
    <t xml:space="preserve">Interest on Deferred payment  </t>
  </si>
  <si>
    <t>50% benefit</t>
  </si>
  <si>
    <t xml:space="preserve">Residential </t>
  </si>
  <si>
    <t>Sqfts</t>
  </si>
  <si>
    <t>Cost/unit</t>
  </si>
  <si>
    <t>Total Cost of Construction incl. Parking</t>
  </si>
  <si>
    <t>Premium</t>
  </si>
  <si>
    <t>RR</t>
  </si>
  <si>
    <t>Total Construction Area</t>
  </si>
  <si>
    <t>Construction BUA Amenity Area proposed</t>
  </si>
  <si>
    <t>Additional FSI</t>
  </si>
  <si>
    <t xml:space="preserve">TDR </t>
  </si>
  <si>
    <t>Slum TDR</t>
  </si>
  <si>
    <t>St.Duty &amp; Notary + Infra Dev. Charges</t>
  </si>
  <si>
    <t>3% + 5%</t>
  </si>
  <si>
    <t>Stamp Duty, Property transfer etc.</t>
  </si>
  <si>
    <t>Landscape Consultant (as per site condi.)</t>
  </si>
  <si>
    <t>PROJECT COST</t>
  </si>
  <si>
    <t>AREA SUMMARY</t>
  </si>
  <si>
    <t>Existing building plot</t>
  </si>
  <si>
    <t>Proposed Residential  (Subject to planning)</t>
  </si>
  <si>
    <t>BUA available as per zonal FSI</t>
  </si>
  <si>
    <t xml:space="preserve">Zonal FSI Permissible as per Table No.6(A) </t>
  </si>
  <si>
    <t>Table 6(A)</t>
  </si>
  <si>
    <t>Area of plot (as per available information)</t>
  </si>
  <si>
    <t>Deductions for</t>
  </si>
  <si>
    <t>Balance Area of plot</t>
  </si>
  <si>
    <t>Addition of FSI on payment of premium</t>
  </si>
  <si>
    <t>Total entitlement of FSI in the proposal</t>
  </si>
  <si>
    <t>Total entitlement (a + b)</t>
  </si>
  <si>
    <t>Note :-</t>
  </si>
  <si>
    <t>Max. permissible TDR loading (as per Road width)</t>
  </si>
  <si>
    <t>Additions for Road setback (2 times)</t>
  </si>
  <si>
    <t>Built up Area available</t>
  </si>
  <si>
    <t>a+b+c</t>
  </si>
  <si>
    <t>1 minus 2d</t>
  </si>
  <si>
    <t>Same as 3</t>
  </si>
  <si>
    <t>6 + 7</t>
  </si>
  <si>
    <t>7 + 10 + 11 + 12</t>
  </si>
  <si>
    <t>13a + 13b</t>
  </si>
  <si>
    <t>Maximum utilization limit of FSI Permissible as per Road width</t>
  </si>
  <si>
    <t>BUA available for Sale (excluding staircase area)</t>
  </si>
  <si>
    <t>Ancillary use means any use of the premises subordinate to the principal use and incidental to the principal use and is allowed with the payment of premium. Utilisation of ancillary area FSI is optional. It can be used fully/ partly. Staircase, Lift &amp; Lift lobby area is a part of ancillary user hence approximate area of 630 sqmts is deducted from Mximum utilization limit of permissible FSI, including ancillary FSI.</t>
  </si>
  <si>
    <t>2022-23</t>
  </si>
  <si>
    <t>Ready Reckoner 2022-2023</t>
  </si>
  <si>
    <t xml:space="preserve">RERA Carpet Area </t>
  </si>
  <si>
    <t>15 + 17</t>
  </si>
  <si>
    <t>Subject to Confirmation  from D.P. department.</t>
  </si>
  <si>
    <t>The above report is prepared as per documents provided and subject to changes on scruting of latest revenue and planning authority records including demarcation of reservations and D P Road, etc</t>
  </si>
  <si>
    <t>Area Under Garden Reservation</t>
  </si>
  <si>
    <t>Ancillary Area FSI upto 60% for residential</t>
  </si>
  <si>
    <t>Staircase Premium (Subject to plans) (included in ancillary)</t>
  </si>
  <si>
    <t>Ancillary FSI</t>
  </si>
  <si>
    <t>General TDR (Subject to MV)</t>
  </si>
  <si>
    <r>
      <t xml:space="preserve">13c </t>
    </r>
    <r>
      <rPr>
        <i/>
        <sz val="12"/>
        <color rgb="FFFF0000"/>
        <rFont val="Calibri"/>
        <family val="2"/>
        <scheme val="minor"/>
      </rPr>
      <t>X 0.6</t>
    </r>
  </si>
  <si>
    <r>
      <t>6a</t>
    </r>
    <r>
      <rPr>
        <i/>
        <sz val="12"/>
        <color rgb="FFFF0000"/>
        <rFont val="Calibri"/>
        <family val="2"/>
        <scheme val="minor"/>
      </rPr>
      <t xml:space="preserve"> X 60%</t>
    </r>
  </si>
  <si>
    <r>
      <t xml:space="preserve">6 </t>
    </r>
    <r>
      <rPr>
        <i/>
        <sz val="12"/>
        <color rgb="FFFF0000"/>
        <rFont val="Calibri"/>
        <family val="2"/>
        <scheme val="minor"/>
      </rPr>
      <t>X 0.5</t>
    </r>
  </si>
  <si>
    <r>
      <t xml:space="preserve">6 </t>
    </r>
    <r>
      <rPr>
        <i/>
        <sz val="12"/>
        <color rgb="FFFF0000"/>
        <rFont val="Calibri"/>
        <family val="2"/>
        <scheme val="minor"/>
      </rPr>
      <t xml:space="preserve"> X 1.1 times</t>
    </r>
  </si>
  <si>
    <r>
      <t xml:space="preserve">2b </t>
    </r>
    <r>
      <rPr>
        <i/>
        <sz val="12"/>
        <color rgb="FFFF0000"/>
        <rFont val="Calibri"/>
        <family val="2"/>
        <scheme val="minor"/>
      </rPr>
      <t>X  2 times</t>
    </r>
  </si>
  <si>
    <t>FSI statement for plot bearing C.T.S No. 1529(pt), 1530(pt) &amp; 1531(pt) village Bhayender,  Post Bhayander, Tal. Thane.</t>
  </si>
  <si>
    <t>Bhayender</t>
  </si>
  <si>
    <t>Cost of construction of Parking spaces</t>
  </si>
  <si>
    <t>Total Cost of construction</t>
  </si>
  <si>
    <t>Authority Cost and Member Cost</t>
  </si>
  <si>
    <t>All Premium Cost</t>
  </si>
  <si>
    <t>Official payments incl. Dev. Charges and Cess</t>
  </si>
  <si>
    <t>Cost of TDR (Subject to MV)</t>
  </si>
  <si>
    <t>Legal fees including Stamp Duty etc.</t>
  </si>
  <si>
    <t>Other Cost at Planning Authority</t>
  </si>
  <si>
    <t>Miscelleneous Cost on site + GST + Marketing Cost</t>
  </si>
  <si>
    <t>Interest on 33% project cost for 2 years @ 18%</t>
  </si>
  <si>
    <t>Proposed Sale and existing area Summary</t>
  </si>
  <si>
    <t>BUArea proposed for reaccommodation of existing tenements</t>
  </si>
  <si>
    <t>Layout development cost/Parking area</t>
  </si>
  <si>
    <t>Construction Cost (incl. GST)</t>
  </si>
  <si>
    <t>Cost of construction @ Rs.3200/- per sqfts on construction area incl. GST</t>
  </si>
  <si>
    <t>Rents and Corpus (Rent = Residential Rs.___ per sqfts-/Corpus = ___ per sqfts/Rs. ___/- Shifting charges</t>
  </si>
  <si>
    <t xml:space="preserve">Rent = Residential Rs.___ per sqfts- for 33 months incl. commission </t>
  </si>
  <si>
    <r>
      <t>Corpus =</t>
    </r>
    <r>
      <rPr>
        <sz val="11"/>
        <color rgb="FFFF0000"/>
        <rFont val="Calibri"/>
        <family val="2"/>
        <scheme val="minor"/>
      </rPr>
      <t>____</t>
    </r>
    <r>
      <rPr>
        <sz val="11"/>
        <color theme="1"/>
        <rFont val="Calibri"/>
        <family val="2"/>
        <scheme val="minor"/>
      </rPr>
      <t>per sqft</t>
    </r>
  </si>
  <si>
    <t>Shifting charges = Rs.____/-</t>
  </si>
  <si>
    <t>MBMCApproval Cost</t>
  </si>
  <si>
    <t>Total Cost of the Project</t>
  </si>
  <si>
    <t>Total Income generated from Sales</t>
  </si>
  <si>
    <t>Profit Generated from the project</t>
  </si>
  <si>
    <t>1529, 1530, 1531</t>
  </si>
  <si>
    <t>Open Space Deficiency Cost</t>
  </si>
  <si>
    <t>Total TDR</t>
  </si>
  <si>
    <t>Income generated by Sales of 35 nos. of car parkings @ Rs.500,000/- per car park</t>
  </si>
  <si>
    <t>Cost to Owner Trust (Trust Occupied area to be Handed Over to Trust) + Conveyance Cost</t>
  </si>
  <si>
    <t>Income generated by Sales @ Rs.15000/- per sqfts</t>
  </si>
  <si>
    <r>
      <t>15</t>
    </r>
    <r>
      <rPr>
        <i/>
        <sz val="12"/>
        <color rgb="FFFF0000"/>
        <rFont val="Calibri"/>
        <family val="2"/>
        <scheme val="minor"/>
      </rPr>
      <t xml:space="preserve"> X 0.9</t>
    </r>
  </si>
  <si>
    <r>
      <t xml:space="preserve">12 </t>
    </r>
    <r>
      <rPr>
        <i/>
        <sz val="12"/>
        <rFont val="Calibri"/>
        <family val="2"/>
        <scheme val="minor"/>
      </rPr>
      <t xml:space="preserve">- 14 </t>
    </r>
  </si>
  <si>
    <r>
      <t xml:space="preserve">6 </t>
    </r>
    <r>
      <rPr>
        <i/>
        <sz val="12"/>
        <color rgb="FFFF0000"/>
        <rFont val="Calibri"/>
        <family val="2"/>
        <scheme val="minor"/>
      </rPr>
      <t>X 0.4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</si>
</sst>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 #,##0.00_ ;_ * \-#,##0.00_ ;_ * &quot;-&quot;??_ ;_ @_ "/>
  </numFmts>
  <fonts count="38">
    <font>
      <sz val="11"/>
      <color theme="1"/>
      <name val="Calibri"/>
      <charset val="134"/>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scheme val="minor"/>
    </font>
    <font>
      <b/>
      <sz val="10"/>
      <color theme="1"/>
      <name val="Calibri"/>
      <family val="2"/>
      <scheme val="minor"/>
    </font>
    <font>
      <b/>
      <sz val="11"/>
      <color theme="1"/>
      <name val="Calibri"/>
      <family val="2"/>
      <scheme val="minor"/>
    </font>
    <font>
      <sz val="11"/>
      <color rgb="FF006100"/>
      <name val="Calibri"/>
      <family val="2"/>
      <scheme val="minor"/>
    </font>
    <font>
      <sz val="11"/>
      <color theme="0"/>
      <name val="Calibri"/>
      <family val="2"/>
      <scheme val="minor"/>
    </font>
    <font>
      <sz val="11"/>
      <color theme="1"/>
      <name val="Calibri"/>
      <family val="2"/>
      <scheme val="minor"/>
    </font>
    <font>
      <b/>
      <sz val="11"/>
      <color theme="0"/>
      <name val="Calibri"/>
      <family val="2"/>
      <scheme val="minor"/>
    </font>
    <font>
      <b/>
      <sz val="10"/>
      <color rgb="FFFF0000"/>
      <name val="Calibri"/>
      <family val="2"/>
      <scheme val="minor"/>
    </font>
    <font>
      <sz val="11"/>
      <color rgb="FF3F3F76"/>
      <name val="Calibri"/>
      <family val="2"/>
      <scheme val="minor"/>
    </font>
    <font>
      <sz val="12"/>
      <color theme="1"/>
      <name val="Calibri"/>
      <family val="2"/>
      <scheme val="minor"/>
    </font>
    <font>
      <sz val="10"/>
      <name val="Calibri"/>
      <family val="2"/>
      <scheme val="minor"/>
    </font>
    <font>
      <sz val="10"/>
      <color theme="0"/>
      <name val="Calibri"/>
      <family val="2"/>
      <scheme val="minor"/>
    </font>
    <font>
      <sz val="12"/>
      <color rgb="FF006100"/>
      <name val="Calibri"/>
      <family val="2"/>
      <scheme val="minor"/>
    </font>
    <font>
      <b/>
      <sz val="14"/>
      <color theme="0"/>
      <name val="Calibri"/>
      <family val="2"/>
      <scheme val="minor"/>
    </font>
    <font>
      <sz val="10"/>
      <color rgb="FF3F3F76"/>
      <name val="Calibri"/>
      <family val="2"/>
      <scheme val="minor"/>
    </font>
    <font>
      <b/>
      <sz val="14"/>
      <color theme="1"/>
      <name val="Calibri"/>
      <family val="2"/>
      <scheme val="minor"/>
    </font>
    <font>
      <b/>
      <sz val="14"/>
      <color rgb="FF3F3F76"/>
      <name val="Calibri"/>
      <family val="2"/>
      <scheme val="minor"/>
    </font>
    <font>
      <b/>
      <i/>
      <sz val="12"/>
      <color theme="1"/>
      <name val="Calibri"/>
      <family val="2"/>
      <scheme val="minor"/>
    </font>
    <font>
      <b/>
      <sz val="14"/>
      <name val="Calibri"/>
      <family val="2"/>
      <scheme val="minor"/>
    </font>
    <font>
      <b/>
      <sz val="16"/>
      <name val="Calibri"/>
      <family val="2"/>
      <scheme val="minor"/>
    </font>
    <font>
      <i/>
      <sz val="12"/>
      <color rgb="FFFF0000"/>
      <name val="Calibri"/>
      <family val="2"/>
      <scheme val="minor"/>
    </font>
    <font>
      <i/>
      <sz val="10"/>
      <color rgb="FFFF0000"/>
      <name val="Calibri"/>
      <family val="2"/>
      <scheme val="minor"/>
    </font>
    <font>
      <sz val="11"/>
      <color rgb="FFFF0000"/>
      <name val="Calibri"/>
      <family val="2"/>
      <scheme val="minor"/>
    </font>
    <font>
      <sz val="11"/>
      <color theme="1"/>
      <name val="Calibri"/>
      <charset val="134"/>
      <scheme val="minor"/>
    </font>
    <font>
      <b/>
      <sz val="10"/>
      <color rgb="FF000000"/>
      <name val="Arial"/>
      <family val="2"/>
    </font>
    <font>
      <b/>
      <sz val="12"/>
      <color theme="1"/>
      <name val="Calibri"/>
      <family val="2"/>
      <scheme val="minor"/>
    </font>
    <font>
      <sz val="12"/>
      <name val="Calibri"/>
      <family val="2"/>
      <scheme val="minor"/>
    </font>
    <font>
      <i/>
      <sz val="12"/>
      <name val="Calibri"/>
      <family val="2"/>
      <scheme val="minor"/>
    </font>
  </fonts>
  <fills count="15">
    <fill>
      <patternFill patternType="none"/>
    </fill>
    <fill>
      <patternFill patternType="gray125"/>
    </fill>
    <fill>
      <patternFill patternType="solid">
        <fgColor rgb="FFC6EFCE"/>
      </patternFill>
    </fill>
    <fill>
      <patternFill patternType="solid">
        <fgColor theme="5"/>
      </patternFill>
    </fill>
    <fill>
      <patternFill patternType="solid">
        <fgColor rgb="FFA5A5A5"/>
      </patternFill>
    </fill>
    <fill>
      <patternFill patternType="solid">
        <fgColor rgb="FFFFFFCC"/>
      </patternFill>
    </fill>
    <fill>
      <patternFill patternType="solid">
        <fgColor theme="7"/>
      </patternFill>
    </fill>
    <fill>
      <patternFill patternType="solid">
        <fgColor rgb="FFFFCC99"/>
      </patternFill>
    </fill>
    <fill>
      <patternFill patternType="solid">
        <fgColor theme="4" tint="0.79998168889431442"/>
        <bgColor indexed="65"/>
      </patternFill>
    </fill>
    <fill>
      <patternFill patternType="solid">
        <fgColor theme="8"/>
      </patternFill>
    </fill>
    <fill>
      <patternFill patternType="solid">
        <fgColor theme="6" tint="0.39997558519241921"/>
        <bgColor indexed="65"/>
      </patternFill>
    </fill>
    <fill>
      <patternFill patternType="solid">
        <fgColor theme="4" tint="0.59999389629810485"/>
        <bgColor indexed="65"/>
      </patternFill>
    </fill>
    <fill>
      <patternFill patternType="solid">
        <fgColor theme="7" tint="0.39997558519241921"/>
        <bgColor indexed="65"/>
      </patternFill>
    </fill>
    <fill>
      <patternFill patternType="solid">
        <fgColor theme="6"/>
      </patternFill>
    </fill>
    <fill>
      <patternFill patternType="solid">
        <fgColor rgb="FFFFFF00"/>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style="thin">
        <color rgb="FF7F7F7F"/>
      </left>
      <right style="thin">
        <color rgb="FF7F7F7F"/>
      </right>
      <top style="thin">
        <color rgb="FF7F7F7F"/>
      </top>
      <bottom style="thin">
        <color rgb="FF7F7F7F"/>
      </bottom>
      <diagonal/>
    </border>
    <border>
      <left style="thin">
        <color rgb="FF7F7F7F"/>
      </left>
      <right style="thin">
        <color indexed="64"/>
      </right>
      <top style="thin">
        <color rgb="FF7F7F7F"/>
      </top>
      <bottom style="thin">
        <color rgb="FF7F7F7F"/>
      </bottom>
      <diagonal/>
    </border>
    <border>
      <left/>
      <right/>
      <top/>
      <bottom style="thin">
        <color rgb="FF7F7F7F"/>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thin">
        <color auto="1"/>
      </left>
      <right style="thin">
        <color auto="1"/>
      </right>
      <top style="thin">
        <color auto="1"/>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medium">
        <color indexed="64"/>
      </bottom>
      <diagonal/>
    </border>
  </borders>
  <cellStyleXfs count="13">
    <xf numFmtId="0" fontId="0" fillId="0" borderId="0"/>
    <xf numFmtId="0" fontId="13" fillId="2" borderId="0" applyNumberFormat="0" applyBorder="0" applyAlignment="0" applyProtection="0"/>
    <xf numFmtId="0" fontId="14" fillId="3" borderId="0" applyNumberFormat="0" applyBorder="0" applyAlignment="0" applyProtection="0"/>
    <xf numFmtId="0" fontId="16" fillId="4" borderId="5" applyNumberFormat="0" applyAlignment="0" applyProtection="0"/>
    <xf numFmtId="0" fontId="15" fillId="5" borderId="6" applyNumberFormat="0" applyFont="0" applyAlignment="0" applyProtection="0"/>
    <xf numFmtId="0" fontId="18" fillId="7" borderId="8" applyNumberFormat="0" applyAlignment="0" applyProtection="0"/>
    <xf numFmtId="0" fontId="9"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8" fillId="11"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43" fontId="33" fillId="0" borderId="0" applyFont="0" applyFill="0" applyBorder="0" applyAlignment="0" applyProtection="0"/>
  </cellStyleXfs>
  <cellXfs count="155">
    <xf numFmtId="0" fontId="0" fillId="0" borderId="0" xfId="0"/>
    <xf numFmtId="0" fontId="10" fillId="0" borderId="1" xfId="0" applyFont="1" applyBorder="1" applyAlignment="1">
      <alignment vertical="top"/>
    </xf>
    <xf numFmtId="0" fontId="10" fillId="0" borderId="1" xfId="0" applyFont="1" applyBorder="1" applyAlignment="1">
      <alignment horizontal="right" vertical="top"/>
    </xf>
    <xf numFmtId="0" fontId="10" fillId="0" borderId="1" xfId="0" applyFont="1" applyBorder="1" applyAlignment="1">
      <alignment horizontal="center" vertical="top"/>
    </xf>
    <xf numFmtId="3" fontId="10" fillId="0" borderId="1" xfId="0" applyNumberFormat="1" applyFont="1" applyBorder="1" applyAlignment="1">
      <alignment horizontal="center" vertical="top"/>
    </xf>
    <xf numFmtId="0" fontId="11" fillId="0" borderId="1" xfId="0" applyFont="1" applyBorder="1" applyAlignment="1">
      <alignment vertical="top"/>
    </xf>
    <xf numFmtId="0" fontId="10" fillId="0" borderId="1" xfId="0" applyFont="1" applyBorder="1" applyAlignment="1">
      <alignment vertical="top" wrapText="1"/>
    </xf>
    <xf numFmtId="0" fontId="10" fillId="0" borderId="0" xfId="0" applyFont="1" applyAlignment="1">
      <alignment vertical="top"/>
    </xf>
    <xf numFmtId="0" fontId="11" fillId="0" borderId="1" xfId="0" applyFont="1" applyBorder="1" applyAlignment="1">
      <alignment horizontal="center" vertical="top"/>
    </xf>
    <xf numFmtId="0" fontId="12" fillId="0" borderId="0" xfId="0" applyFont="1"/>
    <xf numFmtId="0" fontId="10" fillId="0" borderId="1" xfId="0" applyFont="1" applyBorder="1"/>
    <xf numFmtId="0" fontId="11" fillId="0" borderId="1" xfId="0" applyFont="1" applyBorder="1"/>
    <xf numFmtId="9" fontId="10" fillId="0" borderId="1" xfId="0" applyNumberFormat="1" applyFont="1" applyBorder="1" applyAlignment="1">
      <alignment horizontal="center" vertical="top"/>
    </xf>
    <xf numFmtId="0" fontId="11" fillId="0" borderId="1" xfId="0" applyFont="1" applyBorder="1" applyAlignment="1">
      <alignment horizontal="right" vertical="top"/>
    </xf>
    <xf numFmtId="0" fontId="17" fillId="0" borderId="1" xfId="0" applyFont="1" applyBorder="1" applyAlignment="1">
      <alignment vertical="top" wrapText="1"/>
    </xf>
    <xf numFmtId="0" fontId="10" fillId="0" borderId="7" xfId="0" applyFont="1" applyBorder="1" applyAlignment="1">
      <alignment vertical="top"/>
    </xf>
    <xf numFmtId="0" fontId="20" fillId="0" borderId="7" xfId="0" applyFont="1" applyBorder="1" applyAlignment="1">
      <alignment vertical="top"/>
    </xf>
    <xf numFmtId="0" fontId="11" fillId="5" borderId="6" xfId="4" applyFont="1" applyAlignment="1">
      <alignment horizontal="center" vertical="top" wrapText="1"/>
    </xf>
    <xf numFmtId="0" fontId="19" fillId="0" borderId="1" xfId="0" applyFont="1" applyBorder="1" applyAlignment="1">
      <alignment vertical="top"/>
    </xf>
    <xf numFmtId="0" fontId="19" fillId="0" borderId="1" xfId="0" applyFont="1" applyBorder="1" applyAlignment="1">
      <alignment horizontal="center" vertical="top"/>
    </xf>
    <xf numFmtId="0" fontId="19" fillId="0" borderId="1" xfId="0" applyFont="1" applyBorder="1" applyAlignment="1">
      <alignment horizontal="left" vertical="top"/>
    </xf>
    <xf numFmtId="16" fontId="19" fillId="0" borderId="1" xfId="0" applyNumberFormat="1" applyFont="1" applyBorder="1" applyAlignment="1">
      <alignment horizontal="center" vertical="top"/>
    </xf>
    <xf numFmtId="0" fontId="24" fillId="7" borderId="8" xfId="5" applyFont="1" applyAlignment="1">
      <alignment horizontal="center" vertical="top" wrapText="1"/>
    </xf>
    <xf numFmtId="0" fontId="24" fillId="7" borderId="9" xfId="5" applyFont="1" applyBorder="1" applyAlignment="1">
      <alignment horizontal="center" vertical="top" wrapText="1"/>
    </xf>
    <xf numFmtId="0" fontId="10" fillId="0" borderId="7" xfId="0" applyFont="1" applyBorder="1" applyAlignment="1">
      <alignment vertical="top" wrapText="1"/>
    </xf>
    <xf numFmtId="0" fontId="10" fillId="8" borderId="1" xfId="6" applyFont="1" applyBorder="1" applyAlignment="1">
      <alignment vertical="top"/>
    </xf>
    <xf numFmtId="0" fontId="11" fillId="0" borderId="7" xfId="0" applyFont="1" applyBorder="1" applyAlignment="1">
      <alignment vertical="top"/>
    </xf>
    <xf numFmtId="0" fontId="21" fillId="9" borderId="1" xfId="7" applyFont="1" applyBorder="1" applyAlignment="1">
      <alignment vertical="top"/>
    </xf>
    <xf numFmtId="0" fontId="10" fillId="0" borderId="0" xfId="0" applyFont="1"/>
    <xf numFmtId="0" fontId="21" fillId="12" borderId="1" xfId="10" applyFont="1" applyBorder="1" applyAlignment="1">
      <alignment vertical="top"/>
    </xf>
    <xf numFmtId="0" fontId="7" fillId="8" borderId="1" xfId="6" applyFont="1" applyBorder="1" applyAlignment="1">
      <alignment vertical="top"/>
    </xf>
    <xf numFmtId="0" fontId="19" fillId="0" borderId="1" xfId="0" applyFont="1" applyBorder="1" applyAlignment="1">
      <alignment horizontal="center" vertical="center"/>
    </xf>
    <xf numFmtId="0" fontId="6" fillId="0" borderId="0" xfId="0" applyFont="1"/>
    <xf numFmtId="1" fontId="10" fillId="0" borderId="1" xfId="0" applyNumberFormat="1" applyFont="1" applyBorder="1" applyAlignment="1">
      <alignment horizontal="center" vertical="top"/>
    </xf>
    <xf numFmtId="0" fontId="5" fillId="0" borderId="0" xfId="0" applyFont="1"/>
    <xf numFmtId="0" fontId="5" fillId="0" borderId="0" xfId="0" applyFont="1" applyAlignment="1">
      <alignment vertical="top"/>
    </xf>
    <xf numFmtId="49" fontId="19" fillId="0" borderId="1" xfId="0" applyNumberFormat="1" applyFont="1" applyBorder="1" applyAlignment="1">
      <alignment horizontal="center"/>
    </xf>
    <xf numFmtId="16" fontId="30" fillId="0" borderId="1" xfId="0" applyNumberFormat="1" applyFont="1" applyBorder="1" applyAlignment="1">
      <alignment horizontal="center" vertical="top"/>
    </xf>
    <xf numFmtId="9" fontId="30" fillId="0" borderId="1" xfId="0" applyNumberFormat="1" applyFont="1" applyBorder="1" applyAlignment="1">
      <alignment horizontal="center" vertical="top"/>
    </xf>
    <xf numFmtId="0" fontId="0" fillId="0" borderId="1" xfId="0" applyBorder="1" applyAlignment="1">
      <alignment horizontal="center" vertical="center"/>
    </xf>
    <xf numFmtId="0" fontId="0" fillId="0" borderId="0" xfId="0" applyAlignment="1">
      <alignment horizontal="center" vertical="center"/>
    </xf>
    <xf numFmtId="0" fontId="4" fillId="0" borderId="1" xfId="0" applyFont="1" applyBorder="1" applyAlignment="1">
      <alignment horizontal="center" vertical="center"/>
    </xf>
    <xf numFmtId="2" fontId="0" fillId="0" borderId="12" xfId="0" applyNumberFormat="1" applyBorder="1" applyAlignment="1">
      <alignment horizontal="center" vertical="center"/>
    </xf>
    <xf numFmtId="2" fontId="29" fillId="3" borderId="1" xfId="2" applyNumberFormat="1" applyFont="1" applyBorder="1" applyAlignment="1">
      <alignment horizontal="center" vertical="center"/>
    </xf>
    <xf numFmtId="2" fontId="19" fillId="0" borderId="1" xfId="0" applyNumberFormat="1" applyFont="1" applyBorder="1" applyAlignment="1">
      <alignment horizontal="center" vertical="center"/>
    </xf>
    <xf numFmtId="2" fontId="23" fillId="3" borderId="1" xfId="2" applyNumberFormat="1" applyFont="1" applyBorder="1" applyAlignment="1">
      <alignment horizontal="center" vertical="center"/>
    </xf>
    <xf numFmtId="2" fontId="26" fillId="7" borderId="1" xfId="5" applyNumberFormat="1" applyFont="1" applyBorder="1" applyAlignment="1">
      <alignment horizontal="center" vertical="center"/>
    </xf>
    <xf numFmtId="0" fontId="19" fillId="0" borderId="11" xfId="0" applyFont="1" applyBorder="1" applyAlignment="1">
      <alignment vertical="top"/>
    </xf>
    <xf numFmtId="0" fontId="19" fillId="0" borderId="12" xfId="0" applyFont="1" applyBorder="1" applyAlignment="1">
      <alignment horizontal="center" vertical="center"/>
    </xf>
    <xf numFmtId="0" fontId="19" fillId="0" borderId="11" xfId="0" applyFont="1" applyBorder="1" applyAlignment="1">
      <alignment horizontal="center" vertical="top"/>
    </xf>
    <xf numFmtId="0" fontId="19" fillId="0" borderId="12" xfId="0" applyFont="1" applyBorder="1" applyAlignment="1">
      <alignment horizontal="center" vertical="center" wrapText="1"/>
    </xf>
    <xf numFmtId="2" fontId="19" fillId="0" borderId="12" xfId="0" applyNumberFormat="1" applyFont="1" applyBorder="1" applyAlignment="1">
      <alignment horizontal="center" vertical="center"/>
    </xf>
    <xf numFmtId="2" fontId="23" fillId="3" borderId="12" xfId="2" applyNumberFormat="1" applyFont="1" applyBorder="1" applyAlignment="1">
      <alignment horizontal="center" vertical="center"/>
    </xf>
    <xf numFmtId="2" fontId="29" fillId="3" borderId="12" xfId="2" applyNumberFormat="1" applyFont="1" applyBorder="1" applyAlignment="1">
      <alignment horizontal="center" vertical="center"/>
    </xf>
    <xf numFmtId="2" fontId="26" fillId="7" borderId="12" xfId="5" applyNumberFormat="1" applyFont="1" applyBorder="1" applyAlignment="1">
      <alignment horizontal="center" vertical="center"/>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16" fontId="10" fillId="0" borderId="1" xfId="0" applyNumberFormat="1" applyFont="1" applyBorder="1" applyAlignment="1">
      <alignment horizontal="center" vertical="center" wrapText="1"/>
    </xf>
    <xf numFmtId="3" fontId="10" fillId="0" borderId="1" xfId="0" applyNumberFormat="1" applyFont="1" applyBorder="1" applyAlignment="1">
      <alignment horizontal="center" vertical="center" wrapText="1"/>
    </xf>
    <xf numFmtId="0" fontId="10" fillId="0" borderId="0" xfId="0" applyFont="1" applyAlignment="1">
      <alignment horizontal="center" vertical="center"/>
    </xf>
    <xf numFmtId="43" fontId="24" fillId="7" borderId="8" xfId="12" applyFont="1" applyFill="1" applyBorder="1" applyAlignment="1">
      <alignment horizontal="center" vertical="top" wrapText="1"/>
    </xf>
    <xf numFmtId="43" fontId="11" fillId="5" borderId="6" xfId="12" applyFont="1" applyFill="1" applyBorder="1" applyAlignment="1">
      <alignment horizontal="center" vertical="top" wrapText="1"/>
    </xf>
    <xf numFmtId="43" fontId="10" fillId="0" borderId="1" xfId="12" applyFont="1" applyBorder="1" applyAlignment="1">
      <alignment horizontal="center" vertical="top"/>
    </xf>
    <xf numFmtId="43" fontId="11" fillId="0" borderId="1" xfId="12" applyFont="1" applyBorder="1" applyAlignment="1">
      <alignment horizontal="center" vertical="top"/>
    </xf>
    <xf numFmtId="43" fontId="17" fillId="0" borderId="1" xfId="12" applyFont="1" applyBorder="1" applyAlignment="1">
      <alignment vertical="top" wrapText="1"/>
    </xf>
    <xf numFmtId="43" fontId="0" fillId="0" borderId="0" xfId="12" applyFont="1"/>
    <xf numFmtId="43" fontId="24" fillId="7" borderId="8" xfId="12" applyFont="1" applyFill="1" applyBorder="1" applyAlignment="1">
      <alignment horizontal="right" vertical="top" wrapText="1"/>
    </xf>
    <xf numFmtId="43" fontId="11" fillId="5" borderId="6" xfId="12" applyFont="1" applyFill="1" applyBorder="1" applyAlignment="1">
      <alignment horizontal="right" vertical="top" wrapText="1"/>
    </xf>
    <xf numFmtId="43" fontId="10" fillId="0" borderId="1" xfId="12" applyFont="1" applyBorder="1" applyAlignment="1">
      <alignment horizontal="right" vertical="top"/>
    </xf>
    <xf numFmtId="43" fontId="11" fillId="0" borderId="1" xfId="12" applyFont="1" applyBorder="1" applyAlignment="1">
      <alignment horizontal="right" vertical="top"/>
    </xf>
    <xf numFmtId="43" fontId="17" fillId="0" borderId="1" xfId="12" applyFont="1" applyBorder="1" applyAlignment="1">
      <alignment horizontal="right" vertical="top" wrapText="1"/>
    </xf>
    <xf numFmtId="43" fontId="11" fillId="0" borderId="1" xfId="12" applyFont="1" applyBorder="1" applyAlignment="1">
      <alignment horizontal="right"/>
    </xf>
    <xf numFmtId="43" fontId="21" fillId="3" borderId="1" xfId="12" applyFont="1" applyFill="1" applyBorder="1" applyAlignment="1">
      <alignment horizontal="right" vertical="top"/>
    </xf>
    <xf numFmtId="43" fontId="0" fillId="0" borderId="0" xfId="12" applyFont="1" applyAlignment="1">
      <alignment horizontal="right"/>
    </xf>
    <xf numFmtId="0" fontId="34" fillId="0" borderId="1" xfId="0" applyFont="1" applyBorder="1"/>
    <xf numFmtId="43" fontId="19" fillId="0" borderId="11" xfId="12" applyFont="1" applyBorder="1" applyAlignment="1">
      <alignment horizontal="center" vertical="top"/>
    </xf>
    <xf numFmtId="43" fontId="19" fillId="0" borderId="18" xfId="12" applyFont="1" applyBorder="1" applyAlignment="1">
      <alignment horizontal="center" vertical="top"/>
    </xf>
    <xf numFmtId="43" fontId="11" fillId="0" borderId="1" xfId="12" applyFont="1" applyBorder="1" applyAlignment="1">
      <alignment vertical="top"/>
    </xf>
    <xf numFmtId="0" fontId="11" fillId="0" borderId="1" xfId="0" applyFont="1" applyBorder="1" applyAlignment="1">
      <alignment vertical="top" wrapText="1"/>
    </xf>
    <xf numFmtId="9" fontId="11" fillId="0" borderId="1" xfId="0" applyNumberFormat="1" applyFont="1" applyBorder="1" applyAlignment="1">
      <alignment horizontal="center" vertical="top"/>
    </xf>
    <xf numFmtId="43" fontId="35" fillId="14" borderId="11" xfId="12" applyFont="1" applyFill="1" applyBorder="1" applyAlignment="1">
      <alignment horizontal="center" vertical="top"/>
    </xf>
    <xf numFmtId="43" fontId="19" fillId="0" borderId="1" xfId="12" applyFont="1" applyBorder="1" applyAlignment="1">
      <alignment horizontal="center" vertical="top" wrapText="1"/>
    </xf>
    <xf numFmtId="43" fontId="19" fillId="0" borderId="12" xfId="12" applyFont="1" applyBorder="1" applyAlignment="1">
      <alignment horizontal="center" vertical="top" wrapText="1"/>
    </xf>
    <xf numFmtId="43" fontId="29" fillId="3" borderId="2" xfId="12" applyFont="1" applyFill="1" applyBorder="1" applyAlignment="1">
      <alignment horizontal="center" vertical="center"/>
    </xf>
    <xf numFmtId="43" fontId="29" fillId="3" borderId="13" xfId="12" applyFont="1" applyFill="1" applyBorder="1" applyAlignment="1">
      <alignment horizontal="center" vertical="center"/>
    </xf>
    <xf numFmtId="43" fontId="28" fillId="10" borderId="11" xfId="12" applyFont="1" applyFill="1" applyBorder="1" applyAlignment="1">
      <alignment horizontal="center" vertical="center"/>
    </xf>
    <xf numFmtId="43" fontId="28" fillId="10" borderId="1" xfId="12" applyFont="1" applyFill="1" applyBorder="1" applyAlignment="1">
      <alignment horizontal="center" vertical="center"/>
    </xf>
    <xf numFmtId="43" fontId="28" fillId="10" borderId="12" xfId="12" applyFont="1" applyFill="1" applyBorder="1" applyAlignment="1">
      <alignment horizontal="center" vertical="center"/>
    </xf>
    <xf numFmtId="43" fontId="19" fillId="0" borderId="1" xfId="12" applyFont="1" applyBorder="1" applyAlignment="1">
      <alignment horizontal="left" vertical="top"/>
    </xf>
    <xf numFmtId="43" fontId="19" fillId="0" borderId="14" xfId="12" applyFont="1" applyBorder="1" applyAlignment="1">
      <alignment horizontal="left" vertical="top"/>
    </xf>
    <xf numFmtId="43" fontId="0" fillId="0" borderId="1" xfId="12" applyFont="1" applyBorder="1" applyAlignment="1">
      <alignment horizontal="left" vertical="top"/>
    </xf>
    <xf numFmtId="43" fontId="3" fillId="0" borderId="1" xfId="12" applyFont="1" applyBorder="1" applyAlignment="1">
      <alignment horizontal="left" vertical="top" wrapText="1"/>
    </xf>
    <xf numFmtId="43" fontId="0" fillId="0" borderId="1" xfId="12" applyFont="1" applyBorder="1" applyAlignment="1">
      <alignment horizontal="left" vertical="top" wrapText="1"/>
    </xf>
    <xf numFmtId="0" fontId="19" fillId="0" borderId="1" xfId="0" applyFont="1" applyBorder="1" applyAlignment="1">
      <alignment horizontal="left" vertical="top"/>
    </xf>
    <xf numFmtId="43" fontId="3" fillId="0" borderId="1" xfId="12" applyFont="1" applyBorder="1" applyAlignment="1">
      <alignment horizontal="left" vertical="top"/>
    </xf>
    <xf numFmtId="0" fontId="19" fillId="0" borderId="11" xfId="0" applyFont="1" applyBorder="1" applyAlignment="1">
      <alignment horizontal="center" vertical="top"/>
    </xf>
    <xf numFmtId="0" fontId="19" fillId="0" borderId="1" xfId="0" applyFont="1" applyBorder="1" applyAlignment="1">
      <alignment horizontal="center" vertical="top"/>
    </xf>
    <xf numFmtId="0" fontId="19" fillId="0" borderId="1" xfId="0" applyFont="1" applyBorder="1" applyAlignment="1">
      <alignment horizontal="center" vertical="top" wrapText="1"/>
    </xf>
    <xf numFmtId="0" fontId="19" fillId="0" borderId="1" xfId="0" applyFont="1" applyBorder="1" applyAlignment="1">
      <alignment horizontal="center" vertical="center"/>
    </xf>
    <xf numFmtId="0" fontId="25" fillId="11" borderId="11" xfId="9" applyFont="1" applyBorder="1" applyAlignment="1">
      <alignment horizontal="center" vertical="top"/>
    </xf>
    <xf numFmtId="0" fontId="25" fillId="11" borderId="1" xfId="9" applyFont="1" applyBorder="1" applyAlignment="1">
      <alignment horizontal="center" vertical="top"/>
    </xf>
    <xf numFmtId="0" fontId="25" fillId="11" borderId="12" xfId="9" applyFont="1" applyBorder="1" applyAlignment="1">
      <alignment horizontal="center" vertical="top"/>
    </xf>
    <xf numFmtId="0" fontId="27" fillId="0" borderId="15" xfId="0" applyFont="1" applyBorder="1" applyAlignment="1">
      <alignment horizontal="center" vertical="top"/>
    </xf>
    <xf numFmtId="0" fontId="27" fillId="0" borderId="16" xfId="0" applyFont="1" applyBorder="1" applyAlignment="1">
      <alignment horizontal="center" vertical="top"/>
    </xf>
    <xf numFmtId="0" fontId="27" fillId="0" borderId="17" xfId="0" applyFont="1" applyBorder="1" applyAlignment="1">
      <alignment horizontal="center" vertical="top"/>
    </xf>
    <xf numFmtId="0" fontId="22" fillId="0" borderId="11" xfId="1" applyFont="1" applyFill="1" applyBorder="1" applyAlignment="1">
      <alignment horizontal="center" vertical="top"/>
    </xf>
    <xf numFmtId="0" fontId="22" fillId="0" borderId="1" xfId="1" applyFont="1" applyFill="1" applyBorder="1" applyAlignment="1">
      <alignment horizontal="center" vertical="top"/>
    </xf>
    <xf numFmtId="0" fontId="22" fillId="0" borderId="12" xfId="1" applyFont="1" applyFill="1" applyBorder="1" applyAlignment="1">
      <alignment horizontal="center" vertical="top"/>
    </xf>
    <xf numFmtId="0" fontId="27" fillId="0" borderId="11" xfId="0" applyFont="1" applyBorder="1" applyAlignment="1">
      <alignment horizontal="center" vertical="top"/>
    </xf>
    <xf numFmtId="0" fontId="27" fillId="0" borderId="1" xfId="0" applyFont="1" applyBorder="1" applyAlignment="1">
      <alignment horizontal="center" vertical="top"/>
    </xf>
    <xf numFmtId="0" fontId="27" fillId="0" borderId="12" xfId="0" applyFont="1" applyBorder="1" applyAlignment="1">
      <alignment horizontal="center" vertical="top"/>
    </xf>
    <xf numFmtId="0" fontId="19" fillId="0" borderId="1" xfId="0" applyFont="1" applyBorder="1" applyAlignment="1">
      <alignment vertical="top"/>
    </xf>
    <xf numFmtId="0" fontId="11" fillId="0" borderId="2" xfId="0" applyFont="1" applyBorder="1" applyAlignment="1">
      <alignment horizontal="center" vertical="top"/>
    </xf>
    <xf numFmtId="0" fontId="11" fillId="0" borderId="4" xfId="0" applyFont="1" applyBorder="1" applyAlignment="1">
      <alignment horizontal="center" vertical="top"/>
    </xf>
    <xf numFmtId="0" fontId="11" fillId="0" borderId="3" xfId="0" applyFont="1" applyBorder="1" applyAlignment="1">
      <alignment horizontal="center" vertical="top"/>
    </xf>
    <xf numFmtId="0" fontId="10" fillId="0" borderId="2" xfId="0" applyFont="1" applyBorder="1" applyAlignment="1">
      <alignment horizontal="center" vertical="top"/>
    </xf>
    <xf numFmtId="0" fontId="10" fillId="0" borderId="4" xfId="0" applyFont="1" applyBorder="1" applyAlignment="1">
      <alignment horizontal="center" vertical="top"/>
    </xf>
    <xf numFmtId="0" fontId="10" fillId="0" borderId="3" xfId="0" applyFont="1" applyBorder="1" applyAlignment="1">
      <alignment horizontal="center" vertical="top"/>
    </xf>
    <xf numFmtId="0" fontId="10" fillId="0" borderId="1" xfId="0" applyFont="1" applyBorder="1" applyAlignment="1">
      <alignment horizontal="center" vertical="top"/>
    </xf>
    <xf numFmtId="0" fontId="27" fillId="0" borderId="10" xfId="0" applyFont="1" applyBorder="1" applyAlignment="1">
      <alignment horizontal="center" vertical="top"/>
    </xf>
    <xf numFmtId="0" fontId="24" fillId="7" borderId="8" xfId="5" applyFont="1" applyAlignment="1">
      <alignment horizontal="center" vertical="top" wrapText="1"/>
    </xf>
    <xf numFmtId="0" fontId="11" fillId="5" borderId="6" xfId="4" applyFont="1" applyAlignment="1">
      <alignment horizontal="center" vertical="top" wrapText="1"/>
    </xf>
    <xf numFmtId="0" fontId="10" fillId="0" borderId="2" xfId="0" applyFont="1" applyBorder="1" applyAlignment="1">
      <alignment horizontal="center"/>
    </xf>
    <xf numFmtId="0" fontId="10" fillId="0" borderId="4" xfId="0" applyFont="1" applyBorder="1" applyAlignment="1">
      <alignment horizontal="center"/>
    </xf>
    <xf numFmtId="0" fontId="10" fillId="0" borderId="3" xfId="0" applyFont="1" applyBorder="1" applyAlignment="1">
      <alignment horizontal="center"/>
    </xf>
    <xf numFmtId="0" fontId="10" fillId="0" borderId="1" xfId="0" applyFont="1" applyBorder="1" applyAlignment="1">
      <alignment horizontal="center"/>
    </xf>
    <xf numFmtId="0" fontId="28" fillId="4" borderId="11" xfId="3" applyFont="1" applyBorder="1" applyAlignment="1">
      <alignment horizontal="center" vertical="top"/>
    </xf>
    <xf numFmtId="0" fontId="28" fillId="4" borderId="1" xfId="3" applyFont="1" applyBorder="1" applyAlignment="1">
      <alignment horizontal="center" vertical="top"/>
    </xf>
    <xf numFmtId="0" fontId="28" fillId="4" borderId="12" xfId="3" applyFont="1" applyBorder="1" applyAlignment="1">
      <alignment horizontal="center" vertical="top"/>
    </xf>
    <xf numFmtId="0" fontId="19" fillId="0" borderId="1" xfId="0" applyFont="1" applyBorder="1" applyAlignment="1">
      <alignment horizontal="left" vertical="top" wrapText="1"/>
    </xf>
    <xf numFmtId="0" fontId="28" fillId="10" borderId="11" xfId="8" applyFont="1" applyBorder="1" applyAlignment="1">
      <alignment horizontal="center" vertical="center"/>
    </xf>
    <xf numFmtId="0" fontId="28" fillId="10" borderId="1" xfId="8" applyFont="1" applyBorder="1" applyAlignment="1">
      <alignment horizontal="center" vertical="center"/>
    </xf>
    <xf numFmtId="0" fontId="28" fillId="10" borderId="12" xfId="8" applyFont="1" applyBorder="1" applyAlignment="1">
      <alignment horizontal="center" vertical="center"/>
    </xf>
    <xf numFmtId="43" fontId="28" fillId="6" borderId="1" xfId="12" applyFont="1" applyFill="1" applyBorder="1" applyAlignment="1">
      <alignment horizontal="center" vertical="top" wrapText="1"/>
    </xf>
    <xf numFmtId="43" fontId="28" fillId="6" borderId="12" xfId="12" applyFont="1" applyFill="1" applyBorder="1" applyAlignment="1">
      <alignment horizontal="center" vertical="top" wrapText="1"/>
    </xf>
    <xf numFmtId="0" fontId="31" fillId="0" borderId="1" xfId="0" applyFont="1" applyBorder="1" applyAlignment="1">
      <alignment horizontal="center" vertical="top" wrapText="1"/>
    </xf>
    <xf numFmtId="0" fontId="0" fillId="0" borderId="0" xfId="0" applyAlignment="1">
      <alignment vertical="top" wrapText="1"/>
    </xf>
    <xf numFmtId="0" fontId="28" fillId="13" borderId="11" xfId="11" applyFont="1" applyBorder="1" applyAlignment="1">
      <alignment horizontal="center" vertical="top"/>
    </xf>
    <xf numFmtId="0" fontId="28" fillId="13" borderId="1" xfId="11" applyFont="1" applyBorder="1" applyAlignment="1">
      <alignment horizontal="center" vertical="top"/>
    </xf>
    <xf numFmtId="0" fontId="28" fillId="13" borderId="12" xfId="11" applyFont="1" applyBorder="1" applyAlignment="1">
      <alignment horizontal="center" vertical="top"/>
    </xf>
    <xf numFmtId="2" fontId="19" fillId="0" borderId="1" xfId="0" applyNumberFormat="1" applyFont="1" applyBorder="1" applyAlignment="1">
      <alignment horizontal="center" vertical="center"/>
    </xf>
    <xf numFmtId="2" fontId="19" fillId="0" borderId="12" xfId="0" applyNumberFormat="1" applyFont="1" applyBorder="1" applyAlignment="1">
      <alignment horizontal="center" vertical="center"/>
    </xf>
    <xf numFmtId="43" fontId="2" fillId="0" borderId="2" xfId="12" applyFont="1" applyBorder="1" applyAlignment="1">
      <alignment horizontal="left" vertical="top"/>
    </xf>
    <xf numFmtId="43" fontId="0" fillId="0" borderId="4" xfId="12" applyFont="1" applyBorder="1" applyAlignment="1">
      <alignment horizontal="left" vertical="top"/>
    </xf>
    <xf numFmtId="43" fontId="0" fillId="0" borderId="3" xfId="12" applyFont="1" applyBorder="1" applyAlignment="1">
      <alignment horizontal="left" vertical="top"/>
    </xf>
    <xf numFmtId="43" fontId="19" fillId="0" borderId="2" xfId="12" applyFont="1" applyBorder="1" applyAlignment="1">
      <alignment horizontal="center" vertical="top" wrapText="1"/>
    </xf>
    <xf numFmtId="43" fontId="19" fillId="0" borderId="13" xfId="12" applyFont="1" applyBorder="1" applyAlignment="1">
      <alignment horizontal="center" vertical="top" wrapText="1"/>
    </xf>
    <xf numFmtId="43" fontId="12" fillId="14" borderId="2" xfId="12" applyFont="1" applyFill="1" applyBorder="1" applyAlignment="1">
      <alignment horizontal="left" vertical="top"/>
    </xf>
    <xf numFmtId="43" fontId="12" fillId="14" borderId="4" xfId="12" applyFont="1" applyFill="1" applyBorder="1" applyAlignment="1">
      <alignment horizontal="left" vertical="top"/>
    </xf>
    <xf numFmtId="43" fontId="12" fillId="14" borderId="3" xfId="12" applyFont="1" applyFill="1" applyBorder="1" applyAlignment="1">
      <alignment horizontal="left" vertical="top"/>
    </xf>
    <xf numFmtId="43" fontId="35" fillId="14" borderId="2" xfId="12" applyFont="1" applyFill="1" applyBorder="1" applyAlignment="1">
      <alignment horizontal="center" vertical="top" wrapText="1"/>
    </xf>
    <xf numFmtId="43" fontId="35" fillId="14" borderId="13" xfId="12" applyFont="1" applyFill="1" applyBorder="1" applyAlignment="1">
      <alignment horizontal="center" vertical="top" wrapText="1"/>
    </xf>
    <xf numFmtId="0" fontId="4" fillId="0" borderId="0" xfId="0" applyFont="1" applyAlignment="1">
      <alignment horizontal="left" vertical="top" wrapText="1"/>
    </xf>
    <xf numFmtId="0" fontId="5" fillId="0" borderId="0" xfId="0" applyFont="1" applyAlignment="1">
      <alignment horizontal="left" vertical="top" wrapText="1"/>
    </xf>
    <xf numFmtId="49" fontId="36" fillId="0" borderId="1" xfId="0" applyNumberFormat="1" applyFont="1" applyBorder="1" applyAlignment="1">
      <alignment horizontal="center"/>
    </xf>
  </cellXfs>
  <cellStyles count="13">
    <cellStyle name="20% - Accent1" xfId="6" builtinId="30"/>
    <cellStyle name="40% - Accent1" xfId="9" builtinId="31"/>
    <cellStyle name="60% - Accent3" xfId="8" builtinId="40"/>
    <cellStyle name="60% - Accent4" xfId="10" builtinId="44"/>
    <cellStyle name="Accent2" xfId="2" builtinId="33"/>
    <cellStyle name="Accent3" xfId="11" builtinId="37"/>
    <cellStyle name="Accent5" xfId="7" builtinId="45"/>
    <cellStyle name="Check Cell" xfId="3" builtinId="23"/>
    <cellStyle name="Comma" xfId="12" builtinId="3"/>
    <cellStyle name="Good" xfId="1" builtinId="26"/>
    <cellStyle name="Input" xfId="5" builtinId="20"/>
    <cellStyle name="Normal" xfId="0" builtinId="0"/>
    <cellStyle name="Note" xfId="4" builtinId="1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71"/>
  <sheetViews>
    <sheetView tabSelected="1" zoomScaleNormal="100" workbookViewId="0">
      <selection activeCell="L65" sqref="L65"/>
    </sheetView>
  </sheetViews>
  <sheetFormatPr defaultRowHeight="15"/>
  <cols>
    <col min="2" max="2" width="15.28515625" bestFit="1" customWidth="1"/>
    <col min="3" max="3" width="64.140625" customWidth="1"/>
    <col min="4" max="4" width="16.5703125" customWidth="1"/>
    <col min="5" max="5" width="13.42578125" style="40" customWidth="1"/>
    <col min="6" max="6" width="17.85546875" style="40" customWidth="1"/>
    <col min="8" max="8" width="7.140625" customWidth="1"/>
    <col min="9" max="9" width="27.140625" customWidth="1"/>
    <col min="10" max="10" width="4.7109375" customWidth="1"/>
    <col min="11" max="11" width="4.42578125" customWidth="1"/>
    <col min="12" max="12" width="47.7109375" bestFit="1" customWidth="1"/>
    <col min="13" max="13" width="16.7109375" style="65" customWidth="1"/>
    <col min="14" max="14" width="12.28515625" customWidth="1"/>
    <col min="16" max="16" width="15.42578125" style="73" customWidth="1"/>
    <col min="17" max="17" width="11.28515625" bestFit="1" customWidth="1"/>
  </cols>
  <sheetData>
    <row r="1" spans="1:18" ht="15.75">
      <c r="A1" s="102" t="s">
        <v>105</v>
      </c>
      <c r="B1" s="103"/>
      <c r="C1" s="103"/>
      <c r="D1" s="103"/>
      <c r="E1" s="103"/>
      <c r="F1" s="104"/>
      <c r="H1" s="119" t="s">
        <v>104</v>
      </c>
      <c r="I1" s="119"/>
      <c r="J1" s="119"/>
      <c r="K1" s="119"/>
      <c r="L1" s="119"/>
      <c r="M1" s="119"/>
      <c r="N1" s="119"/>
      <c r="O1" s="119"/>
      <c r="P1" s="119"/>
      <c r="Q1" s="119"/>
    </row>
    <row r="2" spans="1:18" ht="15.75">
      <c r="A2" s="105" t="s">
        <v>146</v>
      </c>
      <c r="B2" s="106"/>
      <c r="C2" s="106"/>
      <c r="D2" s="106"/>
      <c r="E2" s="106"/>
      <c r="F2" s="107"/>
      <c r="H2" s="22" t="s">
        <v>23</v>
      </c>
      <c r="I2" s="22" t="s">
        <v>24</v>
      </c>
      <c r="J2" s="120" t="s">
        <v>25</v>
      </c>
      <c r="K2" s="120"/>
      <c r="L2" s="22" t="s">
        <v>26</v>
      </c>
      <c r="M2" s="60" t="s">
        <v>27</v>
      </c>
      <c r="N2" s="22" t="s">
        <v>28</v>
      </c>
      <c r="O2" s="22" t="s">
        <v>91</v>
      </c>
      <c r="P2" s="66" t="s">
        <v>29</v>
      </c>
      <c r="Q2" s="23" t="s">
        <v>88</v>
      </c>
    </row>
    <row r="3" spans="1:18" ht="15.75">
      <c r="A3" s="108" t="s">
        <v>107</v>
      </c>
      <c r="B3" s="109"/>
      <c r="C3" s="109"/>
      <c r="D3" s="109"/>
      <c r="E3" s="109"/>
      <c r="F3" s="110"/>
      <c r="H3" s="17" t="s">
        <v>0</v>
      </c>
      <c r="I3" s="17" t="s">
        <v>1</v>
      </c>
      <c r="J3" s="121" t="s">
        <v>2</v>
      </c>
      <c r="K3" s="121"/>
      <c r="L3" s="17" t="s">
        <v>3</v>
      </c>
      <c r="M3" s="61" t="s">
        <v>4</v>
      </c>
      <c r="N3" s="17" t="s">
        <v>30</v>
      </c>
      <c r="O3" s="17" t="s">
        <v>31</v>
      </c>
      <c r="P3" s="67" t="s">
        <v>32</v>
      </c>
      <c r="Q3" s="24"/>
    </row>
    <row r="4" spans="1:18" ht="15.75">
      <c r="A4" s="47"/>
      <c r="B4" s="111" t="s">
        <v>131</v>
      </c>
      <c r="C4" s="111"/>
      <c r="D4" s="19" t="s">
        <v>147</v>
      </c>
      <c r="E4" s="31" t="s">
        <v>14</v>
      </c>
      <c r="F4" s="48">
        <f>E67</f>
        <v>16590</v>
      </c>
      <c r="H4" s="1"/>
      <c r="I4" s="1"/>
      <c r="J4" s="2"/>
      <c r="K4" s="2"/>
      <c r="L4" s="1"/>
      <c r="M4" s="62"/>
      <c r="N4" s="3"/>
      <c r="O4" s="4"/>
      <c r="P4" s="68"/>
      <c r="Q4" s="15"/>
    </row>
    <row r="5" spans="1:18" ht="15.75">
      <c r="A5" s="49" t="s">
        <v>0</v>
      </c>
      <c r="B5" s="96" t="s">
        <v>1</v>
      </c>
      <c r="C5" s="96"/>
      <c r="D5" s="19" t="s">
        <v>2</v>
      </c>
      <c r="E5" s="31" t="s">
        <v>3</v>
      </c>
      <c r="F5" s="48" t="s">
        <v>4</v>
      </c>
      <c r="H5" s="25">
        <v>1</v>
      </c>
      <c r="I5" s="25" t="s">
        <v>33</v>
      </c>
      <c r="J5" s="2" t="s">
        <v>34</v>
      </c>
      <c r="K5" s="2"/>
      <c r="L5" s="1" t="s">
        <v>161</v>
      </c>
      <c r="M5" s="62">
        <f>(F27+F33)*1.3</f>
        <v>5648.695652173913</v>
      </c>
      <c r="N5" s="3" t="s">
        <v>35</v>
      </c>
      <c r="O5" s="3">
        <f>3000*10.764</f>
        <v>32291.999999999996</v>
      </c>
      <c r="P5" s="68">
        <f>M5*O5</f>
        <v>182407679.99999997</v>
      </c>
      <c r="Q5" s="15"/>
      <c r="R5">
        <f>O5/10.764</f>
        <v>3000</v>
      </c>
    </row>
    <row r="6" spans="1:18" ht="15.75">
      <c r="A6" s="95" t="s">
        <v>5</v>
      </c>
      <c r="B6" s="96" t="s">
        <v>6</v>
      </c>
      <c r="C6" s="96"/>
      <c r="D6" s="97" t="s">
        <v>7</v>
      </c>
      <c r="E6" s="98" t="s">
        <v>90</v>
      </c>
      <c r="F6" s="50" t="s">
        <v>110</v>
      </c>
      <c r="H6" s="5"/>
      <c r="I6" s="5"/>
      <c r="J6" s="2" t="s">
        <v>36</v>
      </c>
      <c r="K6" s="2"/>
      <c r="L6" s="1" t="s">
        <v>160</v>
      </c>
      <c r="M6" s="62">
        <f>F9</f>
        <v>1212.3745819397993</v>
      </c>
      <c r="N6" s="3" t="s">
        <v>35</v>
      </c>
      <c r="O6" s="3">
        <v>3000</v>
      </c>
      <c r="P6" s="68">
        <f>O6*M6</f>
        <v>3637123.7458193982</v>
      </c>
      <c r="Q6" s="15"/>
    </row>
    <row r="7" spans="1:18" ht="15.75">
      <c r="A7" s="95"/>
      <c r="B7" s="96"/>
      <c r="C7" s="96"/>
      <c r="D7" s="96"/>
      <c r="E7" s="98"/>
      <c r="F7" s="50" t="s">
        <v>9</v>
      </c>
      <c r="H7" s="5"/>
      <c r="I7" s="5"/>
      <c r="J7" s="13" t="s">
        <v>38</v>
      </c>
      <c r="K7" s="13"/>
      <c r="L7" s="5" t="s">
        <v>92</v>
      </c>
      <c r="M7" s="112"/>
      <c r="N7" s="113"/>
      <c r="O7" s="114"/>
      <c r="P7" s="69">
        <f>P4+P5+P6</f>
        <v>186044803.74581936</v>
      </c>
      <c r="Q7" s="26" t="s">
        <v>0</v>
      </c>
    </row>
    <row r="8" spans="1:18" ht="18.75">
      <c r="A8" s="99" t="s">
        <v>8</v>
      </c>
      <c r="B8" s="100"/>
      <c r="C8" s="100"/>
      <c r="D8" s="100"/>
      <c r="E8" s="100"/>
      <c r="F8" s="101"/>
      <c r="H8" s="5"/>
      <c r="I8" s="5"/>
      <c r="J8" s="2" t="s">
        <v>39</v>
      </c>
      <c r="K8" s="2"/>
      <c r="L8" s="1" t="s">
        <v>40</v>
      </c>
      <c r="M8" s="62"/>
      <c r="N8" s="3" t="s">
        <v>41</v>
      </c>
      <c r="O8" s="3">
        <v>3</v>
      </c>
      <c r="P8" s="68">
        <f>P7*5%</f>
        <v>9302240.1872909684</v>
      </c>
      <c r="Q8" s="15"/>
    </row>
    <row r="9" spans="1:18" ht="15.75">
      <c r="A9" s="49">
        <v>1</v>
      </c>
      <c r="B9" s="93" t="s">
        <v>111</v>
      </c>
      <c r="C9" s="93"/>
      <c r="D9" s="19"/>
      <c r="E9" s="44">
        <v>13050</v>
      </c>
      <c r="F9" s="51">
        <f>E9/10.764</f>
        <v>1212.3745819397993</v>
      </c>
      <c r="H9" s="25">
        <v>2</v>
      </c>
      <c r="I9" s="25" t="s">
        <v>42</v>
      </c>
      <c r="J9" s="2" t="s">
        <v>34</v>
      </c>
      <c r="K9" s="2"/>
      <c r="L9" s="1" t="s">
        <v>43</v>
      </c>
      <c r="M9" s="62">
        <f>M5</f>
        <v>5648.695652173913</v>
      </c>
      <c r="N9" s="3"/>
      <c r="O9" s="3">
        <v>20</v>
      </c>
      <c r="P9" s="68">
        <f>M9*O9</f>
        <v>112973.91304347826</v>
      </c>
      <c r="Q9" s="15"/>
    </row>
    <row r="10" spans="1:18" ht="15.75">
      <c r="A10" s="49">
        <v>2</v>
      </c>
      <c r="B10" s="93" t="s">
        <v>112</v>
      </c>
      <c r="C10" s="93"/>
      <c r="D10" s="19"/>
      <c r="E10" s="44"/>
      <c r="F10" s="51"/>
      <c r="H10" s="5"/>
      <c r="I10" s="5"/>
      <c r="J10" s="2" t="s">
        <v>36</v>
      </c>
      <c r="K10" s="2"/>
      <c r="L10" s="1" t="s">
        <v>44</v>
      </c>
      <c r="M10" s="62">
        <f>M9</f>
        <v>5648.695652173913</v>
      </c>
      <c r="N10" s="3">
        <v>0</v>
      </c>
      <c r="O10" s="3">
        <v>300</v>
      </c>
      <c r="P10" s="68">
        <f>M10*O10</f>
        <v>1694608.6956521738</v>
      </c>
      <c r="Q10" s="15"/>
    </row>
    <row r="11" spans="1:18" ht="15.75">
      <c r="A11" s="49"/>
      <c r="B11" s="18" t="s">
        <v>34</v>
      </c>
      <c r="C11" s="20" t="s">
        <v>136</v>
      </c>
      <c r="D11" s="135" t="s">
        <v>134</v>
      </c>
      <c r="E11" s="44">
        <f t="shared" ref="E11:E15" si="0">F11*10.764</f>
        <v>0</v>
      </c>
      <c r="F11" s="51">
        <v>0</v>
      </c>
      <c r="H11" s="5"/>
      <c r="I11" s="5"/>
      <c r="J11" s="2" t="s">
        <v>39</v>
      </c>
      <c r="K11" s="2"/>
      <c r="L11" s="5" t="s">
        <v>45</v>
      </c>
      <c r="M11" s="62"/>
      <c r="N11" s="3"/>
      <c r="O11" s="3"/>
      <c r="P11" s="68"/>
      <c r="Q11" s="15"/>
    </row>
    <row r="12" spans="1:18" ht="15.75">
      <c r="A12" s="49"/>
      <c r="B12" s="18" t="s">
        <v>36</v>
      </c>
      <c r="C12" s="20" t="s">
        <v>12</v>
      </c>
      <c r="D12" s="135"/>
      <c r="E12" s="44">
        <f t="shared" si="0"/>
        <v>0</v>
      </c>
      <c r="F12" s="51">
        <v>0</v>
      </c>
      <c r="H12" s="5"/>
      <c r="I12" s="5"/>
      <c r="J12" s="2"/>
      <c r="K12" s="2" t="s">
        <v>46</v>
      </c>
      <c r="L12" s="1" t="s">
        <v>47</v>
      </c>
      <c r="M12" s="62">
        <f>F15</f>
        <v>1212.3745819397993</v>
      </c>
      <c r="N12" s="3" t="s">
        <v>41</v>
      </c>
      <c r="O12" s="3">
        <v>1</v>
      </c>
      <c r="P12" s="68">
        <f>M12*1%*F4</f>
        <v>201132.94314381274</v>
      </c>
      <c r="Q12" s="15"/>
    </row>
    <row r="13" spans="1:18" ht="15.75">
      <c r="A13" s="49"/>
      <c r="B13" s="18" t="s">
        <v>38</v>
      </c>
      <c r="C13" s="20" t="s">
        <v>106</v>
      </c>
      <c r="D13" s="135"/>
      <c r="E13" s="44">
        <f t="shared" si="0"/>
        <v>0</v>
      </c>
      <c r="F13" s="51">
        <v>0</v>
      </c>
      <c r="H13" s="5"/>
      <c r="I13" s="5"/>
      <c r="J13" s="2"/>
      <c r="K13" s="2" t="s">
        <v>48</v>
      </c>
      <c r="L13" s="1" t="s">
        <v>22</v>
      </c>
      <c r="M13" s="62">
        <f>F30</f>
        <v>2362.9598662207354</v>
      </c>
      <c r="N13" s="3" t="s">
        <v>41</v>
      </c>
      <c r="O13" s="3">
        <v>4</v>
      </c>
      <c r="P13" s="68">
        <f>M13*F4*4%</f>
        <v>1568060.1672240801</v>
      </c>
      <c r="Q13" s="15"/>
    </row>
    <row r="14" spans="1:18" ht="15.75">
      <c r="A14" s="49"/>
      <c r="B14" s="18" t="s">
        <v>39</v>
      </c>
      <c r="C14" s="18" t="s">
        <v>16</v>
      </c>
      <c r="D14" s="19" t="s">
        <v>121</v>
      </c>
      <c r="E14" s="44">
        <f t="shared" si="0"/>
        <v>0</v>
      </c>
      <c r="F14" s="51">
        <f>F11+F12+F13</f>
        <v>0</v>
      </c>
      <c r="H14" s="5"/>
      <c r="I14" s="5"/>
      <c r="J14" s="2"/>
      <c r="K14" s="2" t="s">
        <v>49</v>
      </c>
      <c r="L14" s="1" t="s">
        <v>21</v>
      </c>
      <c r="M14" s="62">
        <v>0</v>
      </c>
      <c r="N14" s="3" t="s">
        <v>41</v>
      </c>
      <c r="O14" s="3">
        <v>8</v>
      </c>
      <c r="P14" s="68">
        <v>0</v>
      </c>
      <c r="Q14" s="15"/>
    </row>
    <row r="15" spans="1:18" ht="15.75">
      <c r="A15" s="49">
        <v>3</v>
      </c>
      <c r="B15" s="93" t="s">
        <v>113</v>
      </c>
      <c r="C15" s="93"/>
      <c r="D15" s="21" t="s">
        <v>122</v>
      </c>
      <c r="E15" s="44">
        <f t="shared" si="0"/>
        <v>13050</v>
      </c>
      <c r="F15" s="51">
        <f>F9-F14</f>
        <v>1212.3745819397993</v>
      </c>
      <c r="H15" s="5"/>
      <c r="I15" s="5"/>
      <c r="J15" s="2"/>
      <c r="K15" s="2"/>
      <c r="L15" s="1" t="s">
        <v>37</v>
      </c>
      <c r="M15" s="115"/>
      <c r="N15" s="116"/>
      <c r="O15" s="117"/>
      <c r="P15" s="69">
        <f>P12+P13+P14</f>
        <v>1769193.1103678928</v>
      </c>
      <c r="Q15" s="15"/>
    </row>
    <row r="16" spans="1:18" ht="15.75">
      <c r="A16" s="49">
        <v>4</v>
      </c>
      <c r="B16" s="93" t="s">
        <v>18</v>
      </c>
      <c r="C16" s="93"/>
      <c r="D16" s="37" t="s">
        <v>123</v>
      </c>
      <c r="E16" s="44">
        <f>F16*10.764</f>
        <v>13050</v>
      </c>
      <c r="F16" s="51">
        <f>F15</f>
        <v>1212.3745819397993</v>
      </c>
      <c r="H16" s="5"/>
      <c r="I16" s="13"/>
      <c r="J16" s="2" t="s">
        <v>50</v>
      </c>
      <c r="K16" s="2"/>
      <c r="L16" s="5" t="s">
        <v>138</v>
      </c>
      <c r="M16" s="62"/>
      <c r="N16" s="3"/>
      <c r="O16" s="3"/>
      <c r="P16" s="68"/>
      <c r="Q16" s="15"/>
    </row>
    <row r="17" spans="1:17" ht="15.75">
      <c r="A17" s="49">
        <v>5</v>
      </c>
      <c r="B17" s="93" t="s">
        <v>119</v>
      </c>
      <c r="C17" s="93"/>
      <c r="D17" s="21" t="s">
        <v>145</v>
      </c>
      <c r="E17" s="44">
        <f t="shared" ref="E17" si="1">F17*10.764</f>
        <v>0</v>
      </c>
      <c r="F17" s="51">
        <f>F12*2</f>
        <v>0</v>
      </c>
      <c r="H17" s="5"/>
      <c r="I17" s="13" t="s">
        <v>93</v>
      </c>
      <c r="J17" s="2"/>
      <c r="K17" s="2" t="s">
        <v>46</v>
      </c>
      <c r="L17" s="1" t="s">
        <v>89</v>
      </c>
      <c r="M17" s="62">
        <v>630</v>
      </c>
      <c r="N17" s="12">
        <v>0.1</v>
      </c>
      <c r="O17" s="3">
        <f>F4*40%</f>
        <v>6636</v>
      </c>
      <c r="P17" s="68">
        <v>0</v>
      </c>
      <c r="Q17" s="15"/>
    </row>
    <row r="18" spans="1:17" ht="15.75">
      <c r="A18" s="49">
        <v>6</v>
      </c>
      <c r="B18" s="93" t="s">
        <v>120</v>
      </c>
      <c r="C18" s="93"/>
      <c r="D18" s="21" t="s">
        <v>124</v>
      </c>
      <c r="E18" s="44">
        <f>F18*10.764</f>
        <v>13050</v>
      </c>
      <c r="F18" s="51">
        <f>F16</f>
        <v>1212.3745819397993</v>
      </c>
      <c r="H18" s="5"/>
      <c r="I18" s="2"/>
      <c r="J18" s="2"/>
      <c r="K18" s="2" t="s">
        <v>48</v>
      </c>
      <c r="L18" s="1" t="s">
        <v>21</v>
      </c>
      <c r="M18" s="62">
        <v>0</v>
      </c>
      <c r="N18" s="3"/>
      <c r="O18" s="3"/>
      <c r="P18" s="68">
        <f>O18*M18</f>
        <v>0</v>
      </c>
      <c r="Q18" s="15"/>
    </row>
    <row r="19" spans="1:17" ht="15.75">
      <c r="A19" s="49">
        <v>7</v>
      </c>
      <c r="B19" s="93" t="s">
        <v>109</v>
      </c>
      <c r="C19" s="93"/>
      <c r="D19" s="19"/>
      <c r="E19" s="140">
        <v>1.1000000000000001</v>
      </c>
      <c r="F19" s="141"/>
      <c r="H19" s="5"/>
      <c r="I19" s="2" t="s">
        <v>93</v>
      </c>
      <c r="J19" s="2"/>
      <c r="K19" s="2"/>
      <c r="L19" s="1" t="s">
        <v>139</v>
      </c>
      <c r="M19" s="62">
        <f>F25</f>
        <v>1454.8494983277592</v>
      </c>
      <c r="N19" s="12">
        <v>0.1</v>
      </c>
      <c r="O19" s="3">
        <f>F4*10%</f>
        <v>1659</v>
      </c>
      <c r="P19" s="68">
        <f>M19*O19</f>
        <v>2413595.3177257525</v>
      </c>
      <c r="Q19" s="15"/>
    </row>
    <row r="20" spans="1:17" ht="15.75">
      <c r="A20" s="49">
        <v>8</v>
      </c>
      <c r="B20" s="93" t="s">
        <v>108</v>
      </c>
      <c r="C20" s="93"/>
      <c r="D20" s="19" t="s">
        <v>144</v>
      </c>
      <c r="E20" s="44">
        <f>F20*10.764</f>
        <v>14355</v>
      </c>
      <c r="F20" s="51">
        <f>F18*1.1</f>
        <v>1333.6120401337794</v>
      </c>
      <c r="H20" s="1"/>
      <c r="I20" s="13" t="s">
        <v>93</v>
      </c>
      <c r="J20" s="2" t="s">
        <v>51</v>
      </c>
      <c r="K20" s="2" t="s">
        <v>46</v>
      </c>
      <c r="L20" s="5" t="s">
        <v>97</v>
      </c>
      <c r="M20" s="62">
        <f>F21</f>
        <v>606.18729096989966</v>
      </c>
      <c r="N20" s="12">
        <v>0.6</v>
      </c>
      <c r="O20" s="3">
        <f>F4*60%</f>
        <v>9954</v>
      </c>
      <c r="P20" s="69">
        <f>M20*O20</f>
        <v>6033988.2943143817</v>
      </c>
      <c r="Q20" s="15"/>
    </row>
    <row r="21" spans="1:17" ht="15.75">
      <c r="A21" s="49">
        <v>9</v>
      </c>
      <c r="B21" s="93" t="s">
        <v>114</v>
      </c>
      <c r="C21" s="93"/>
      <c r="D21" s="19" t="s">
        <v>143</v>
      </c>
      <c r="E21" s="44">
        <f t="shared" ref="E21:E30" si="2">F21*10.764</f>
        <v>6525</v>
      </c>
      <c r="F21" s="51">
        <f>F18*0.5</f>
        <v>606.18729096989966</v>
      </c>
      <c r="H21" s="1"/>
      <c r="I21" s="13"/>
      <c r="J21" s="2"/>
      <c r="K21" s="2"/>
      <c r="L21" s="5"/>
      <c r="M21" s="62"/>
      <c r="N21" s="12"/>
      <c r="O21" s="3"/>
      <c r="P21" s="69">
        <f>P20+P19</f>
        <v>8447583.6120401341</v>
      </c>
      <c r="Q21" s="15"/>
    </row>
    <row r="22" spans="1:17" ht="15.75">
      <c r="A22" s="49">
        <v>10</v>
      </c>
      <c r="B22" s="93" t="s">
        <v>118</v>
      </c>
      <c r="C22" s="93"/>
      <c r="D22" s="19" t="s">
        <v>179</v>
      </c>
      <c r="E22" s="44">
        <f t="shared" si="2"/>
        <v>5220</v>
      </c>
      <c r="F22" s="51">
        <f>F18*0.4</f>
        <v>484.94983277591973</v>
      </c>
      <c r="H22" s="1"/>
      <c r="I22" s="2"/>
      <c r="J22" s="2" t="s">
        <v>52</v>
      </c>
      <c r="K22" s="2"/>
      <c r="L22" s="5" t="s">
        <v>98</v>
      </c>
      <c r="M22" s="62"/>
      <c r="N22" s="1"/>
      <c r="O22" s="12"/>
      <c r="P22" s="68"/>
      <c r="Q22" s="27">
        <f>(M17*D67/2)*25%</f>
        <v>0</v>
      </c>
    </row>
    <row r="23" spans="1:17" ht="15.75">
      <c r="A23" s="49">
        <v>11</v>
      </c>
      <c r="B23" s="93" t="s">
        <v>115</v>
      </c>
      <c r="C23" s="93"/>
      <c r="D23" s="19"/>
      <c r="E23" s="44"/>
      <c r="F23" s="42"/>
      <c r="H23" s="1"/>
      <c r="I23" s="2"/>
      <c r="J23" s="2"/>
      <c r="K23" s="2"/>
      <c r="L23" s="1" t="s">
        <v>99</v>
      </c>
      <c r="M23" s="62">
        <f>F28/2</f>
        <v>0</v>
      </c>
      <c r="N23" s="3">
        <v>0</v>
      </c>
      <c r="O23" s="3">
        <v>0</v>
      </c>
      <c r="P23" s="68">
        <f>M23*O23</f>
        <v>0</v>
      </c>
      <c r="Q23" s="15"/>
    </row>
    <row r="24" spans="1:17" ht="18.75">
      <c r="A24" s="49"/>
      <c r="B24" s="20" t="s">
        <v>34</v>
      </c>
      <c r="C24" s="20"/>
      <c r="D24" s="19" t="s">
        <v>125</v>
      </c>
      <c r="E24" s="45">
        <f>F24*10.764</f>
        <v>26100</v>
      </c>
      <c r="F24" s="52">
        <f>F20+F21+F22+F17</f>
        <v>2424.7491638795987</v>
      </c>
      <c r="H24" s="1"/>
      <c r="I24" s="2"/>
      <c r="J24" s="2"/>
      <c r="K24" s="1"/>
      <c r="L24" s="1" t="s">
        <v>140</v>
      </c>
      <c r="M24" s="62">
        <f>F22</f>
        <v>484.94983277591973</v>
      </c>
      <c r="N24" s="33">
        <v>0</v>
      </c>
      <c r="O24" s="3">
        <v>550</v>
      </c>
      <c r="P24" s="68">
        <f>M24*10.764*550</f>
        <v>2871000</v>
      </c>
      <c r="Q24" s="7"/>
    </row>
    <row r="25" spans="1:17" ht="15.75">
      <c r="A25" s="49"/>
      <c r="B25" s="20" t="s">
        <v>36</v>
      </c>
      <c r="C25" s="20" t="s">
        <v>137</v>
      </c>
      <c r="D25" s="19" t="s">
        <v>142</v>
      </c>
      <c r="E25" s="44">
        <f>F25*10.764</f>
        <v>15659.999999999998</v>
      </c>
      <c r="F25" s="51">
        <f>F24*60%</f>
        <v>1454.8494983277592</v>
      </c>
      <c r="H25" s="1"/>
      <c r="I25" s="2"/>
      <c r="J25" s="2"/>
      <c r="K25" s="1"/>
      <c r="L25" s="1" t="s">
        <v>100</v>
      </c>
      <c r="M25" s="62">
        <f>M23+M24</f>
        <v>484.94983277591973</v>
      </c>
      <c r="N25" s="3" t="s">
        <v>101</v>
      </c>
      <c r="O25" s="3"/>
      <c r="P25" s="68">
        <f>M25*F4*8%</f>
        <v>643625.41806020064</v>
      </c>
      <c r="Q25" s="7"/>
    </row>
    <row r="26" spans="1:17" ht="15.75">
      <c r="A26" s="49"/>
      <c r="B26" s="20" t="s">
        <v>38</v>
      </c>
      <c r="C26" s="20" t="s">
        <v>116</v>
      </c>
      <c r="D26" s="19" t="s">
        <v>126</v>
      </c>
      <c r="E26" s="44">
        <f>F26*10.764</f>
        <v>41760</v>
      </c>
      <c r="F26" s="51">
        <f>F24+F25</f>
        <v>3879.5986622073578</v>
      </c>
      <c r="H26" s="1"/>
      <c r="I26" s="2"/>
      <c r="J26" s="2"/>
      <c r="K26" s="1"/>
      <c r="L26" s="5" t="s">
        <v>173</v>
      </c>
      <c r="M26" s="77"/>
      <c r="N26" s="5"/>
      <c r="O26" s="5"/>
      <c r="P26" s="69">
        <f>P23+P24+P25</f>
        <v>3514625.4180602008</v>
      </c>
      <c r="Q26" s="7"/>
    </row>
    <row r="27" spans="1:17" ht="18.75">
      <c r="A27" s="49">
        <v>12</v>
      </c>
      <c r="B27" s="93" t="s">
        <v>127</v>
      </c>
      <c r="C27" s="93"/>
      <c r="D27" s="19" t="s">
        <v>141</v>
      </c>
      <c r="E27" s="45">
        <f>F27*10.764</f>
        <v>41760</v>
      </c>
      <c r="F27" s="52">
        <f>F26</f>
        <v>3879.5986622073578</v>
      </c>
      <c r="H27" s="5"/>
      <c r="I27" s="13"/>
      <c r="J27" s="2" t="s">
        <v>46</v>
      </c>
      <c r="K27" s="2"/>
      <c r="L27" s="1" t="s">
        <v>54</v>
      </c>
      <c r="M27" s="62">
        <f>M10</f>
        <v>5648.695652173913</v>
      </c>
      <c r="N27" s="3" t="s">
        <v>41</v>
      </c>
      <c r="O27" s="3">
        <v>1</v>
      </c>
      <c r="P27" s="68">
        <f>M27*26620*1%</f>
        <v>1503682.7826086956</v>
      </c>
      <c r="Q27" s="7"/>
    </row>
    <row r="28" spans="1:17" ht="18.75">
      <c r="A28" s="137" t="s">
        <v>158</v>
      </c>
      <c r="B28" s="138"/>
      <c r="C28" s="138"/>
      <c r="D28" s="138"/>
      <c r="E28" s="138"/>
      <c r="F28" s="139"/>
      <c r="H28" s="5"/>
      <c r="I28" s="13"/>
      <c r="J28" s="2" t="s">
        <v>55</v>
      </c>
      <c r="K28" s="2"/>
      <c r="L28" s="1" t="s">
        <v>56</v>
      </c>
      <c r="M28" s="62">
        <f>M5</f>
        <v>5648.695652173913</v>
      </c>
      <c r="N28" s="3" t="s">
        <v>35</v>
      </c>
      <c r="O28" s="3">
        <v>65</v>
      </c>
      <c r="P28" s="68">
        <v>425000</v>
      </c>
      <c r="Q28" s="28"/>
    </row>
    <row r="29" spans="1:17" ht="15.75">
      <c r="A29" s="49">
        <v>14</v>
      </c>
      <c r="B29" s="93" t="s">
        <v>159</v>
      </c>
      <c r="C29" s="93"/>
      <c r="D29" s="36"/>
      <c r="E29" s="44">
        <f>F29*10.764</f>
        <v>16325.100000000002</v>
      </c>
      <c r="F29" s="51">
        <f>14841/10.764*1.1</f>
        <v>1516.6387959866224</v>
      </c>
      <c r="G29">
        <v>14841</v>
      </c>
      <c r="H29" s="5"/>
      <c r="I29" s="13"/>
      <c r="J29" s="2" t="s">
        <v>57</v>
      </c>
      <c r="K29" s="2"/>
      <c r="L29" s="1" t="s">
        <v>58</v>
      </c>
      <c r="M29" s="62">
        <f>M27</f>
        <v>5648.695652173913</v>
      </c>
      <c r="N29" s="3" t="s">
        <v>35</v>
      </c>
      <c r="O29" s="3">
        <v>50</v>
      </c>
      <c r="P29" s="68">
        <f>M29*O29</f>
        <v>282434.78260869568</v>
      </c>
      <c r="Q29" s="29">
        <f>(M20*D67*50%)*50%</f>
        <v>0</v>
      </c>
    </row>
    <row r="30" spans="1:17" ht="21">
      <c r="A30" s="49">
        <v>15</v>
      </c>
      <c r="B30" s="93" t="s">
        <v>128</v>
      </c>
      <c r="C30" s="93"/>
      <c r="D30" s="154" t="s">
        <v>178</v>
      </c>
      <c r="E30" s="43">
        <f t="shared" si="2"/>
        <v>25434.899999999994</v>
      </c>
      <c r="F30" s="53">
        <f>F27-F29</f>
        <v>2362.9598662207354</v>
      </c>
      <c r="H30" s="5"/>
      <c r="I30" s="13"/>
      <c r="J30" s="2" t="s">
        <v>59</v>
      </c>
      <c r="K30" s="2"/>
      <c r="L30" s="1" t="s">
        <v>60</v>
      </c>
      <c r="M30" s="62">
        <f>M29</f>
        <v>5648.695652173913</v>
      </c>
      <c r="N30" s="3" t="s">
        <v>41</v>
      </c>
      <c r="O30" s="3">
        <v>1.6479999999999999</v>
      </c>
      <c r="P30" s="68">
        <f>M30*O30%*1.5*16100</f>
        <v>2248135.6799999992</v>
      </c>
      <c r="Q30" s="15"/>
    </row>
    <row r="31" spans="1:17" ht="21">
      <c r="A31" s="49">
        <v>16</v>
      </c>
      <c r="B31" s="93" t="s">
        <v>132</v>
      </c>
      <c r="C31" s="93"/>
      <c r="D31" s="36" t="s">
        <v>177</v>
      </c>
      <c r="E31" s="43">
        <f>F31*10.764</f>
        <v>22891.409999999996</v>
      </c>
      <c r="F31" s="53">
        <f>F30*0.9</f>
        <v>2126.6638795986619</v>
      </c>
      <c r="H31" s="5"/>
      <c r="I31" s="13"/>
      <c r="J31" s="2"/>
      <c r="K31" s="2"/>
      <c r="L31" s="1"/>
      <c r="M31" s="62"/>
      <c r="N31" s="3"/>
      <c r="O31" s="3"/>
      <c r="P31" s="69">
        <f>SUM(P27:P30)</f>
        <v>4459253.2452173904</v>
      </c>
      <c r="Q31" s="15"/>
    </row>
    <row r="32" spans="1:17" ht="18.75">
      <c r="A32" s="126" t="s">
        <v>20</v>
      </c>
      <c r="B32" s="127"/>
      <c r="C32" s="127"/>
      <c r="D32" s="127"/>
      <c r="E32" s="127"/>
      <c r="F32" s="128"/>
      <c r="G32" s="34">
        <f>E31/720</f>
        <v>31.793624999999995</v>
      </c>
      <c r="H32" s="5"/>
      <c r="I32" s="13" t="s">
        <v>93</v>
      </c>
      <c r="J32" s="2" t="s">
        <v>61</v>
      </c>
      <c r="K32" s="2"/>
      <c r="L32" s="5" t="s">
        <v>62</v>
      </c>
      <c r="M32" s="118" t="s">
        <v>84</v>
      </c>
      <c r="N32" s="118"/>
      <c r="O32" s="118"/>
      <c r="P32" s="69">
        <v>3568957</v>
      </c>
      <c r="Q32" s="15"/>
    </row>
    <row r="33" spans="1:17" ht="15.75">
      <c r="A33" s="49">
        <v>17</v>
      </c>
      <c r="B33" s="129" t="s">
        <v>96</v>
      </c>
      <c r="C33" s="129"/>
      <c r="D33" s="38">
        <v>0.12</v>
      </c>
      <c r="E33" s="44">
        <f>F33*10.764</f>
        <v>5011.1999999999989</v>
      </c>
      <c r="F33" s="51">
        <f>F27*12%</f>
        <v>465.5518394648829</v>
      </c>
      <c r="H33" s="5"/>
      <c r="I33" s="13"/>
      <c r="J33" s="2"/>
      <c r="K33" s="2"/>
      <c r="L33" s="5" t="s">
        <v>37</v>
      </c>
      <c r="M33" s="115"/>
      <c r="N33" s="116"/>
      <c r="O33" s="117"/>
      <c r="P33" s="69"/>
      <c r="Q33" s="15"/>
    </row>
    <row r="34" spans="1:17" ht="16.899999999999999" customHeight="1">
      <c r="A34" s="49">
        <v>18</v>
      </c>
      <c r="B34" s="129" t="s">
        <v>95</v>
      </c>
      <c r="C34" s="129"/>
      <c r="D34" s="19" t="s">
        <v>133</v>
      </c>
      <c r="E34" s="46">
        <f>F34*10.764</f>
        <v>60802.559999999998</v>
      </c>
      <c r="F34" s="54">
        <f>(F27+F33)*1.3</f>
        <v>5648.695652173913</v>
      </c>
      <c r="H34" s="25">
        <v>3</v>
      </c>
      <c r="I34" s="25" t="s">
        <v>63</v>
      </c>
      <c r="J34" s="2"/>
      <c r="K34" s="2"/>
      <c r="L34" s="6" t="s">
        <v>102</v>
      </c>
      <c r="M34" s="64"/>
      <c r="N34" s="14"/>
      <c r="O34" s="14"/>
      <c r="P34" s="70"/>
      <c r="Q34" s="15"/>
    </row>
    <row r="35" spans="1:17" ht="18.600000000000001" customHeight="1">
      <c r="A35" s="130" t="s">
        <v>86</v>
      </c>
      <c r="B35" s="131"/>
      <c r="C35" s="131"/>
      <c r="D35" s="131"/>
      <c r="E35" s="131"/>
      <c r="F35" s="132"/>
      <c r="H35" s="5"/>
      <c r="I35" s="5"/>
      <c r="J35" s="2"/>
      <c r="K35" s="2"/>
      <c r="L35" s="78" t="s">
        <v>22</v>
      </c>
      <c r="M35" s="63">
        <f>F9</f>
        <v>1212.3745819397993</v>
      </c>
      <c r="N35" s="79" t="s">
        <v>41</v>
      </c>
      <c r="O35" s="8">
        <v>6</v>
      </c>
      <c r="P35" s="69">
        <f>M35*E68*6%</f>
        <v>3855351.1705685616</v>
      </c>
      <c r="Q35" s="15"/>
    </row>
    <row r="36" spans="1:17" ht="15.6" customHeight="1">
      <c r="A36" s="130"/>
      <c r="B36" s="131"/>
      <c r="C36" s="131"/>
      <c r="D36" s="131"/>
      <c r="E36" s="131"/>
      <c r="F36" s="132"/>
      <c r="H36" s="25">
        <v>5</v>
      </c>
      <c r="I36" s="25" t="s">
        <v>66</v>
      </c>
      <c r="J36" s="2" t="s">
        <v>34</v>
      </c>
      <c r="K36" s="2"/>
      <c r="L36" s="74" t="s">
        <v>67</v>
      </c>
      <c r="M36" s="63"/>
      <c r="N36" s="8" t="s">
        <v>65</v>
      </c>
      <c r="O36" s="8"/>
      <c r="P36" s="69">
        <v>500000</v>
      </c>
      <c r="Q36" s="27" t="e">
        <f>(#REF!*D67*50%)*50%</f>
        <v>#REF!</v>
      </c>
    </row>
    <row r="37" spans="1:17" ht="15.6" customHeight="1">
      <c r="A37" s="75">
        <v>1</v>
      </c>
      <c r="B37" s="91" t="s">
        <v>162</v>
      </c>
      <c r="C37" s="91"/>
      <c r="D37" s="91"/>
      <c r="E37" s="81">
        <f>P5</f>
        <v>182407679.99999997</v>
      </c>
      <c r="F37" s="82"/>
      <c r="H37" s="5"/>
      <c r="I37" s="5"/>
      <c r="J37" s="2" t="s">
        <v>36</v>
      </c>
      <c r="K37" s="2"/>
      <c r="L37" s="1" t="s">
        <v>68</v>
      </c>
      <c r="M37" s="62">
        <f>F27</f>
        <v>3879.5986622073578</v>
      </c>
      <c r="N37" s="3" t="s">
        <v>9</v>
      </c>
      <c r="O37" s="3">
        <f>50*10.764</f>
        <v>538.19999999999993</v>
      </c>
      <c r="P37" s="68">
        <f t="shared" ref="P37:P43" si="3">M37*O37</f>
        <v>2087999.9999999998</v>
      </c>
      <c r="Q37" s="15"/>
    </row>
    <row r="38" spans="1:17" ht="15.6" customHeight="1">
      <c r="A38" s="75">
        <v>2</v>
      </c>
      <c r="B38" s="90" t="s">
        <v>148</v>
      </c>
      <c r="C38" s="90"/>
      <c r="D38" s="90"/>
      <c r="E38" s="81">
        <f>P6</f>
        <v>3637123.7458193982</v>
      </c>
      <c r="F38" s="82"/>
      <c r="H38" s="5"/>
      <c r="I38" s="5"/>
      <c r="J38" s="2" t="s">
        <v>38</v>
      </c>
      <c r="K38" s="2"/>
      <c r="L38" s="1" t="s">
        <v>69</v>
      </c>
      <c r="M38" s="62">
        <f>M37</f>
        <v>3879.5986622073578</v>
      </c>
      <c r="N38" s="3" t="s">
        <v>9</v>
      </c>
      <c r="O38" s="3">
        <v>538.20000000000005</v>
      </c>
      <c r="P38" s="68">
        <f t="shared" si="3"/>
        <v>2088000.0000000002</v>
      </c>
      <c r="Q38" s="15"/>
    </row>
    <row r="39" spans="1:17" ht="15.6" customHeight="1">
      <c r="A39" s="75">
        <v>3</v>
      </c>
      <c r="B39" s="90" t="s">
        <v>149</v>
      </c>
      <c r="C39" s="90"/>
      <c r="D39" s="90"/>
      <c r="E39" s="81">
        <f>E37+E38</f>
        <v>186044803.74581936</v>
      </c>
      <c r="F39" s="82"/>
      <c r="H39" s="5"/>
      <c r="I39" s="5"/>
      <c r="J39" s="2" t="s">
        <v>39</v>
      </c>
      <c r="K39" s="2"/>
      <c r="L39" s="1" t="s">
        <v>70</v>
      </c>
      <c r="M39" s="62">
        <f>M13</f>
        <v>2362.9598662207354</v>
      </c>
      <c r="N39" s="3" t="s">
        <v>9</v>
      </c>
      <c r="O39" s="3">
        <v>53.82</v>
      </c>
      <c r="P39" s="68">
        <f t="shared" si="3"/>
        <v>127174.49999999999</v>
      </c>
      <c r="Q39" s="15"/>
    </row>
    <row r="40" spans="1:17" ht="15.75">
      <c r="A40" s="75">
        <v>4</v>
      </c>
      <c r="B40" s="90" t="s">
        <v>150</v>
      </c>
      <c r="C40" s="90"/>
      <c r="D40" s="90"/>
      <c r="E40" s="81"/>
      <c r="F40" s="82"/>
      <c r="H40" s="5"/>
      <c r="I40" s="5"/>
      <c r="J40" s="2" t="s">
        <v>50</v>
      </c>
      <c r="K40" s="2"/>
      <c r="L40" s="1" t="s">
        <v>71</v>
      </c>
      <c r="M40" s="62">
        <f>M13</f>
        <v>2362.9598662207354</v>
      </c>
      <c r="N40" s="3" t="s">
        <v>9</v>
      </c>
      <c r="O40" s="3">
        <v>538.20000000000005</v>
      </c>
      <c r="P40" s="68">
        <f>M40*O40</f>
        <v>1271745</v>
      </c>
      <c r="Q40" s="15"/>
    </row>
    <row r="41" spans="1:17" ht="15.75">
      <c r="A41" s="75">
        <v>5</v>
      </c>
      <c r="B41" s="91" t="s">
        <v>163</v>
      </c>
      <c r="C41" s="92"/>
      <c r="D41" s="92"/>
      <c r="E41" s="81">
        <v>0</v>
      </c>
      <c r="F41" s="82"/>
      <c r="H41" s="5"/>
      <c r="I41" s="5"/>
      <c r="J41" s="2" t="s">
        <v>51</v>
      </c>
      <c r="K41" s="2"/>
      <c r="L41" s="1" t="s">
        <v>72</v>
      </c>
      <c r="M41" s="62">
        <f>M37</f>
        <v>3879.5986622073578</v>
      </c>
      <c r="N41" s="3" t="s">
        <v>9</v>
      </c>
      <c r="O41" s="3">
        <v>269</v>
      </c>
      <c r="P41" s="68">
        <f t="shared" si="3"/>
        <v>1043612.0401337793</v>
      </c>
      <c r="Q41" s="15"/>
    </row>
    <row r="42" spans="1:17" ht="15.6" customHeight="1">
      <c r="A42" s="75">
        <v>6</v>
      </c>
      <c r="B42" s="91" t="s">
        <v>164</v>
      </c>
      <c r="C42" s="92"/>
      <c r="D42" s="92"/>
      <c r="E42" s="81">
        <v>0</v>
      </c>
      <c r="F42" s="82"/>
      <c r="H42" s="5"/>
      <c r="I42" s="5"/>
      <c r="J42" s="2" t="s">
        <v>52</v>
      </c>
      <c r="K42" s="2"/>
      <c r="L42" s="1" t="s">
        <v>73</v>
      </c>
      <c r="M42" s="62">
        <f>M10</f>
        <v>5648.695652173913</v>
      </c>
      <c r="N42" s="3" t="s">
        <v>9</v>
      </c>
      <c r="O42" s="3">
        <f>10*10.764</f>
        <v>107.63999999999999</v>
      </c>
      <c r="P42" s="68">
        <f t="shared" si="3"/>
        <v>608025.59999999998</v>
      </c>
      <c r="Q42" s="27">
        <f>P32/2</f>
        <v>1784478.5</v>
      </c>
    </row>
    <row r="43" spans="1:17" ht="15.75" customHeight="1">
      <c r="A43" s="75">
        <v>7</v>
      </c>
      <c r="B43" s="91" t="s">
        <v>165</v>
      </c>
      <c r="C43" s="91"/>
      <c r="D43" s="91"/>
      <c r="E43" s="81">
        <v>0</v>
      </c>
      <c r="F43" s="82"/>
      <c r="H43" s="5"/>
      <c r="I43" s="5"/>
      <c r="J43" s="2" t="s">
        <v>53</v>
      </c>
      <c r="K43" s="2"/>
      <c r="L43" s="1" t="s">
        <v>103</v>
      </c>
      <c r="M43" s="62">
        <f>F9</f>
        <v>1212.3745819397993</v>
      </c>
      <c r="N43" s="3" t="s">
        <v>9</v>
      </c>
      <c r="O43" s="3">
        <v>269</v>
      </c>
      <c r="P43" s="68">
        <f t="shared" si="3"/>
        <v>326128.76254180603</v>
      </c>
      <c r="Q43" s="26" t="s">
        <v>1</v>
      </c>
    </row>
    <row r="44" spans="1:17" ht="18.75" customHeight="1">
      <c r="A44" s="75">
        <v>8</v>
      </c>
      <c r="B44" s="91" t="s">
        <v>166</v>
      </c>
      <c r="C44" s="92"/>
      <c r="D44" s="92"/>
      <c r="E44" s="81">
        <v>0</v>
      </c>
      <c r="F44" s="82"/>
      <c r="H44" s="5"/>
      <c r="I44" s="5"/>
      <c r="J44" s="2"/>
      <c r="K44" s="2"/>
      <c r="L44" s="5" t="s">
        <v>37</v>
      </c>
      <c r="M44" s="115"/>
      <c r="N44" s="116"/>
      <c r="O44" s="117"/>
      <c r="P44" s="69">
        <f>SUM(P36:P43)</f>
        <v>8052685.9026755849</v>
      </c>
      <c r="Q44" s="27" t="e">
        <f>Q22+Q28+Q36+Q42</f>
        <v>#REF!</v>
      </c>
    </row>
    <row r="45" spans="1:17" ht="15.75">
      <c r="A45" s="75">
        <v>9</v>
      </c>
      <c r="B45" s="90" t="s">
        <v>151</v>
      </c>
      <c r="C45" s="90"/>
      <c r="D45" s="90"/>
      <c r="E45" s="81">
        <f>P19+P20</f>
        <v>8447583.6120401341</v>
      </c>
      <c r="F45" s="82"/>
      <c r="H45" s="25">
        <v>6</v>
      </c>
      <c r="I45" s="25" t="s">
        <v>74</v>
      </c>
      <c r="J45" s="2" t="s">
        <v>34</v>
      </c>
      <c r="K45" s="2"/>
      <c r="L45" s="1" t="s">
        <v>167</v>
      </c>
      <c r="M45" s="62">
        <f>M41</f>
        <v>3879.5986622073578</v>
      </c>
      <c r="N45" s="3" t="s">
        <v>9</v>
      </c>
      <c r="O45" s="3">
        <v>1076.4000000000001</v>
      </c>
      <c r="P45" s="68">
        <f>M45*O45</f>
        <v>4176000.0000000005</v>
      </c>
      <c r="Q45" s="15"/>
    </row>
    <row r="46" spans="1:17" ht="15.75">
      <c r="A46" s="75">
        <v>10</v>
      </c>
      <c r="B46" s="142" t="s">
        <v>172</v>
      </c>
      <c r="C46" s="143"/>
      <c r="D46" s="144"/>
      <c r="E46" s="145">
        <f>P32</f>
        <v>3568957</v>
      </c>
      <c r="F46" s="146"/>
      <c r="H46" s="5"/>
      <c r="I46" s="5"/>
      <c r="J46" s="2" t="s">
        <v>36</v>
      </c>
      <c r="K46" s="2"/>
      <c r="L46" s="1" t="s">
        <v>75</v>
      </c>
      <c r="M46" s="62">
        <f>M45</f>
        <v>3879.5986622073578</v>
      </c>
      <c r="N46" s="3" t="s">
        <v>9</v>
      </c>
      <c r="O46" s="3">
        <v>269.10000000000002</v>
      </c>
      <c r="P46" s="68">
        <f>M46*O46</f>
        <v>1044000.0000000001</v>
      </c>
      <c r="Q46" s="16"/>
    </row>
    <row r="47" spans="1:17" ht="15.75">
      <c r="A47" s="75">
        <v>11</v>
      </c>
      <c r="B47" s="90" t="s">
        <v>152</v>
      </c>
      <c r="C47" s="90"/>
      <c r="D47" s="90"/>
      <c r="E47" s="81">
        <f>P31+P15</f>
        <v>6228446.3555852827</v>
      </c>
      <c r="F47" s="82"/>
      <c r="H47" s="5"/>
      <c r="I47" s="5"/>
      <c r="J47" s="2" t="s">
        <v>38</v>
      </c>
      <c r="K47" s="2"/>
      <c r="L47" s="1" t="s">
        <v>76</v>
      </c>
      <c r="M47" s="62">
        <f>M46</f>
        <v>3879.5986622073578</v>
      </c>
      <c r="N47" s="3" t="s">
        <v>9</v>
      </c>
      <c r="O47" s="3">
        <v>269.10000000000002</v>
      </c>
      <c r="P47" s="68">
        <f>M47*O47</f>
        <v>1044000.0000000001</v>
      </c>
      <c r="Q47" s="15"/>
    </row>
    <row r="48" spans="1:17" ht="15.75">
      <c r="A48" s="75">
        <v>12</v>
      </c>
      <c r="B48" s="94" t="s">
        <v>153</v>
      </c>
      <c r="C48" s="94"/>
      <c r="D48" s="94"/>
      <c r="E48" s="81">
        <f>P26</f>
        <v>3514625.4180602008</v>
      </c>
      <c r="F48" s="82"/>
      <c r="H48" s="5"/>
      <c r="I48" s="5"/>
      <c r="J48" s="2"/>
      <c r="K48" s="2"/>
      <c r="L48" s="5" t="s">
        <v>37</v>
      </c>
      <c r="M48" s="115"/>
      <c r="N48" s="116"/>
      <c r="O48" s="117"/>
      <c r="P48" s="69">
        <f>SUM(P45:P47)</f>
        <v>6264000.0000000009</v>
      </c>
      <c r="Q48" s="15"/>
    </row>
    <row r="49" spans="1:17" ht="15.75">
      <c r="A49" s="75">
        <v>13</v>
      </c>
      <c r="B49" s="90" t="s">
        <v>154</v>
      </c>
      <c r="C49" s="90"/>
      <c r="D49" s="90"/>
      <c r="E49" s="81">
        <f>P35</f>
        <v>3855351.1705685616</v>
      </c>
      <c r="F49" s="82"/>
      <c r="H49" s="25">
        <v>7</v>
      </c>
      <c r="I49" s="25" t="s">
        <v>77</v>
      </c>
      <c r="J49" s="2" t="s">
        <v>34</v>
      </c>
      <c r="K49" s="1"/>
      <c r="L49" s="1" t="s">
        <v>78</v>
      </c>
      <c r="M49" s="62">
        <f>P5</f>
        <v>182407679.99999997</v>
      </c>
      <c r="N49" s="3" t="s">
        <v>41</v>
      </c>
      <c r="O49" s="3">
        <v>0.2</v>
      </c>
      <c r="P49" s="68">
        <f>M49*O49%</f>
        <v>364815.35999999993</v>
      </c>
      <c r="Q49" s="15"/>
    </row>
    <row r="50" spans="1:17" ht="15.75">
      <c r="A50" s="75">
        <v>14</v>
      </c>
      <c r="B50" s="90" t="s">
        <v>66</v>
      </c>
      <c r="C50" s="90"/>
      <c r="D50" s="90"/>
      <c r="E50" s="81">
        <f>P44</f>
        <v>8052685.9026755849</v>
      </c>
      <c r="F50" s="82"/>
      <c r="H50" s="5"/>
      <c r="I50" s="5"/>
      <c r="J50" s="2" t="s">
        <v>36</v>
      </c>
      <c r="K50" s="1"/>
      <c r="L50" s="1" t="s">
        <v>79</v>
      </c>
      <c r="M50" s="62"/>
      <c r="N50" s="3" t="s">
        <v>65</v>
      </c>
      <c r="O50" s="3"/>
      <c r="P50" s="68">
        <v>150000</v>
      </c>
      <c r="Q50" s="15"/>
    </row>
    <row r="51" spans="1:17" ht="15.75">
      <c r="A51" s="75">
        <v>15</v>
      </c>
      <c r="B51" s="90" t="s">
        <v>155</v>
      </c>
      <c r="C51" s="90"/>
      <c r="D51" s="90"/>
      <c r="E51" s="81">
        <f>P48</f>
        <v>6264000.0000000009</v>
      </c>
      <c r="F51" s="82"/>
      <c r="H51" s="5"/>
      <c r="I51" s="5"/>
      <c r="J51" s="2" t="s">
        <v>38</v>
      </c>
      <c r="K51" s="1"/>
      <c r="L51" s="1" t="s">
        <v>80</v>
      </c>
      <c r="M51" s="62">
        <v>30</v>
      </c>
      <c r="N51" s="3" t="s">
        <v>64</v>
      </c>
      <c r="O51" s="3">
        <v>100000</v>
      </c>
      <c r="P51" s="68">
        <f>M51*O51</f>
        <v>3000000</v>
      </c>
      <c r="Q51" s="26" t="s">
        <v>2</v>
      </c>
    </row>
    <row r="52" spans="1:17" ht="15.6" customHeight="1">
      <c r="A52" s="75">
        <v>16</v>
      </c>
      <c r="B52" s="94" t="s">
        <v>156</v>
      </c>
      <c r="C52" s="94"/>
      <c r="D52" s="94"/>
      <c r="E52" s="81">
        <f>P52</f>
        <v>3514815.36</v>
      </c>
      <c r="F52" s="82"/>
      <c r="H52" s="11"/>
      <c r="I52" s="11"/>
      <c r="J52" s="10"/>
      <c r="K52" s="10"/>
      <c r="L52" s="11" t="s">
        <v>37</v>
      </c>
      <c r="M52" s="122"/>
      <c r="N52" s="123"/>
      <c r="O52" s="124"/>
      <c r="P52" s="71">
        <f>SUM(P49:P51)</f>
        <v>3514815.36</v>
      </c>
      <c r="Q52" s="15"/>
    </row>
    <row r="53" spans="1:17" ht="15.75">
      <c r="A53" s="80">
        <v>17</v>
      </c>
      <c r="B53" s="147" t="s">
        <v>175</v>
      </c>
      <c r="C53" s="148"/>
      <c r="D53" s="149"/>
      <c r="E53" s="150">
        <f>40000000</f>
        <v>40000000</v>
      </c>
      <c r="F53" s="151"/>
      <c r="H53" s="125" t="s">
        <v>81</v>
      </c>
      <c r="I53" s="125"/>
      <c r="J53" s="125"/>
      <c r="K53" s="125"/>
      <c r="L53" s="125"/>
      <c r="M53" s="125"/>
      <c r="N53" s="125"/>
      <c r="O53" s="125"/>
      <c r="P53" s="72">
        <f>P7+P31+P35+P44+P48+P52+P26+P32+P21+P15</f>
        <v>229491268.56474915</v>
      </c>
      <c r="Q53" s="15"/>
    </row>
    <row r="54" spans="1:17" ht="15.75">
      <c r="A54" s="75">
        <v>18</v>
      </c>
      <c r="B54" s="94" t="s">
        <v>157</v>
      </c>
      <c r="C54" s="94"/>
      <c r="D54" s="94"/>
      <c r="E54" s="81">
        <f>P53*18%*33%</f>
        <v>13631781.352746099</v>
      </c>
      <c r="F54" s="82"/>
      <c r="H54" s="9"/>
      <c r="I54" s="9"/>
      <c r="Q54" s="15"/>
    </row>
    <row r="55" spans="1:17" ht="25.5">
      <c r="A55" s="75">
        <v>19</v>
      </c>
      <c r="B55" s="88" t="s">
        <v>168</v>
      </c>
      <c r="C55" s="88"/>
      <c r="D55" s="88"/>
      <c r="E55" s="133">
        <f>SUM(E39:F54)</f>
        <v>283123049.91749525</v>
      </c>
      <c r="F55" s="134"/>
      <c r="H55" s="30">
        <v>7</v>
      </c>
      <c r="I55" s="30" t="s">
        <v>82</v>
      </c>
      <c r="J55" s="2" t="s">
        <v>34</v>
      </c>
      <c r="K55" s="6"/>
      <c r="L55" s="6" t="s">
        <v>83</v>
      </c>
      <c r="M55" s="62">
        <f>P53</f>
        <v>229491268.56474915</v>
      </c>
      <c r="N55" s="3" t="s">
        <v>41</v>
      </c>
      <c r="O55" s="3">
        <v>18</v>
      </c>
      <c r="P55" s="68">
        <f>M55*18%</f>
        <v>41308428.341654845</v>
      </c>
      <c r="Q55" s="15"/>
    </row>
    <row r="56" spans="1:17">
      <c r="A56" s="85" t="s">
        <v>85</v>
      </c>
      <c r="B56" s="86"/>
      <c r="C56" s="86"/>
      <c r="D56" s="86"/>
      <c r="E56" s="86"/>
      <c r="F56" s="87"/>
      <c r="H56" s="5"/>
      <c r="I56" s="5"/>
      <c r="J56" s="2" t="s">
        <v>36</v>
      </c>
      <c r="K56" s="6"/>
      <c r="L56" s="6" t="s">
        <v>87</v>
      </c>
      <c r="M56" s="62">
        <f>P17+P20+P32</f>
        <v>9602945.2943143807</v>
      </c>
      <c r="N56" s="3" t="s">
        <v>41</v>
      </c>
      <c r="O56" s="3">
        <v>8.5</v>
      </c>
      <c r="P56" s="68">
        <f>M56*O56%</f>
        <v>816250.35001672246</v>
      </c>
      <c r="Q56" s="15"/>
    </row>
    <row r="57" spans="1:17">
      <c r="A57" s="85"/>
      <c r="B57" s="86"/>
      <c r="C57" s="86"/>
      <c r="D57" s="86"/>
      <c r="E57" s="86"/>
      <c r="F57" s="87"/>
      <c r="H57" s="5"/>
      <c r="I57" s="5"/>
      <c r="J57" s="2"/>
      <c r="K57" s="6"/>
      <c r="L57" s="6"/>
      <c r="M57" s="62"/>
      <c r="N57" s="3"/>
      <c r="O57" s="3"/>
      <c r="P57" s="69">
        <f>SUM(P55:P56)</f>
        <v>42124678.691671565</v>
      </c>
      <c r="Q57" s="15"/>
    </row>
    <row r="58" spans="1:17" ht="15.75">
      <c r="A58" s="75">
        <v>1</v>
      </c>
      <c r="B58" s="88" t="s">
        <v>176</v>
      </c>
      <c r="C58" s="88"/>
      <c r="D58" s="88"/>
      <c r="E58" s="81">
        <f>E31*15000</f>
        <v>343371149.99999994</v>
      </c>
      <c r="F58" s="82"/>
      <c r="Q58" s="15"/>
    </row>
    <row r="59" spans="1:17" ht="15.75">
      <c r="A59" s="75">
        <v>3</v>
      </c>
      <c r="B59" s="88" t="s">
        <v>174</v>
      </c>
      <c r="C59" s="88"/>
      <c r="D59" s="88"/>
      <c r="E59" s="81">
        <f>35*500000</f>
        <v>17500000</v>
      </c>
      <c r="F59" s="82"/>
      <c r="Q59" s="15"/>
    </row>
    <row r="60" spans="1:17" ht="15.75">
      <c r="A60" s="75">
        <v>4</v>
      </c>
      <c r="B60" s="88" t="s">
        <v>169</v>
      </c>
      <c r="C60" s="88"/>
      <c r="D60" s="88"/>
      <c r="E60" s="81">
        <f>E58+E59</f>
        <v>360871149.99999994</v>
      </c>
      <c r="F60" s="82"/>
      <c r="Q60" s="26"/>
    </row>
    <row r="61" spans="1:17" ht="21.75" thickBot="1">
      <c r="A61" s="76">
        <v>5</v>
      </c>
      <c r="B61" s="89" t="s">
        <v>170</v>
      </c>
      <c r="C61" s="89"/>
      <c r="D61" s="89"/>
      <c r="E61" s="83">
        <f>E60-E55</f>
        <v>77748100.08250469</v>
      </c>
      <c r="F61" s="84"/>
    </row>
    <row r="62" spans="1:17">
      <c r="A62" s="35" t="s">
        <v>117</v>
      </c>
      <c r="B62" s="152" t="s">
        <v>129</v>
      </c>
      <c r="C62" s="153"/>
      <c r="D62" s="153"/>
      <c r="E62" s="153"/>
      <c r="F62" s="153"/>
      <c r="L62" s="32"/>
    </row>
    <row r="63" spans="1:17">
      <c r="B63" s="136" t="s">
        <v>135</v>
      </c>
      <c r="C63" s="136"/>
      <c r="D63" s="136"/>
      <c r="E63" s="136"/>
      <c r="F63" s="136"/>
    </row>
    <row r="65" spans="1:5">
      <c r="A65" s="55" t="s">
        <v>94</v>
      </c>
      <c r="B65" s="55"/>
      <c r="C65" s="40"/>
      <c r="D65" s="56"/>
      <c r="E65" s="41" t="s">
        <v>130</v>
      </c>
    </row>
    <row r="66" spans="1:5" ht="60" customHeight="1">
      <c r="A66" s="55" t="s">
        <v>10</v>
      </c>
      <c r="B66" s="55"/>
      <c r="C66" s="55" t="s">
        <v>11</v>
      </c>
      <c r="D66" s="56"/>
      <c r="E66" s="39"/>
    </row>
    <row r="67" spans="1:5">
      <c r="A67" s="55" t="s">
        <v>13</v>
      </c>
      <c r="B67" s="57">
        <v>45413</v>
      </c>
      <c r="C67" s="55" t="s">
        <v>14</v>
      </c>
      <c r="D67" s="56"/>
      <c r="E67" s="39">
        <v>16590</v>
      </c>
    </row>
    <row r="68" spans="1:5">
      <c r="A68" s="55" t="s">
        <v>15</v>
      </c>
      <c r="B68" s="58" t="s">
        <v>171</v>
      </c>
      <c r="C68" s="55" t="s">
        <v>147</v>
      </c>
      <c r="D68" s="56"/>
      <c r="E68" s="39">
        <v>53000</v>
      </c>
    </row>
    <row r="69" spans="1:5">
      <c r="A69" s="55"/>
      <c r="B69" s="55">
        <v>0</v>
      </c>
      <c r="C69" s="55" t="s">
        <v>17</v>
      </c>
      <c r="D69" s="56"/>
      <c r="E69" s="39">
        <v>54300</v>
      </c>
    </row>
    <row r="70" spans="1:5">
      <c r="A70" s="55"/>
      <c r="B70" s="55"/>
      <c r="C70" s="55" t="s">
        <v>19</v>
      </c>
      <c r="D70" s="56"/>
      <c r="E70" s="39">
        <v>71900</v>
      </c>
    </row>
    <row r="71" spans="1:5">
      <c r="A71" s="59"/>
      <c r="B71" s="59"/>
      <c r="C71" s="59"/>
      <c r="D71" s="59"/>
      <c r="E71" s="39">
        <v>54300</v>
      </c>
    </row>
  </sheetData>
  <mergeCells count="92">
    <mergeCell ref="D11:D13"/>
    <mergeCell ref="B63:F63"/>
    <mergeCell ref="A28:F28"/>
    <mergeCell ref="B30:C30"/>
    <mergeCell ref="B31:C31"/>
    <mergeCell ref="B19:C19"/>
    <mergeCell ref="B23:C23"/>
    <mergeCell ref="B27:C27"/>
    <mergeCell ref="E19:F19"/>
    <mergeCell ref="B51:D51"/>
    <mergeCell ref="E51:F51"/>
    <mergeCell ref="B46:D46"/>
    <mergeCell ref="E46:F46"/>
    <mergeCell ref="B53:D53"/>
    <mergeCell ref="E53:F53"/>
    <mergeCell ref="B62:F62"/>
    <mergeCell ref="B52:D52"/>
    <mergeCell ref="B54:D54"/>
    <mergeCell ref="B55:D55"/>
    <mergeCell ref="E52:F52"/>
    <mergeCell ref="E54:F54"/>
    <mergeCell ref="E55:F55"/>
    <mergeCell ref="M44:O44"/>
    <mergeCell ref="M48:O48"/>
    <mergeCell ref="M52:O52"/>
    <mergeCell ref="H53:O53"/>
    <mergeCell ref="A32:F32"/>
    <mergeCell ref="B33:C33"/>
    <mergeCell ref="B34:C34"/>
    <mergeCell ref="A35:F36"/>
    <mergeCell ref="B50:D50"/>
    <mergeCell ref="E50:F50"/>
    <mergeCell ref="B37:D37"/>
    <mergeCell ref="E37:F37"/>
    <mergeCell ref="B38:D38"/>
    <mergeCell ref="E38:F38"/>
    <mergeCell ref="B39:D39"/>
    <mergeCell ref="E39:F39"/>
    <mergeCell ref="M7:O7"/>
    <mergeCell ref="M15:O15"/>
    <mergeCell ref="M32:O32"/>
    <mergeCell ref="M33:O33"/>
    <mergeCell ref="H1:Q1"/>
    <mergeCell ref="J2:K2"/>
    <mergeCell ref="J3:K3"/>
    <mergeCell ref="A1:F1"/>
    <mergeCell ref="A2:F2"/>
    <mergeCell ref="A3:F3"/>
    <mergeCell ref="B4:C4"/>
    <mergeCell ref="B5:C5"/>
    <mergeCell ref="A6:A7"/>
    <mergeCell ref="B6:C7"/>
    <mergeCell ref="D6:D7"/>
    <mergeCell ref="E6:E7"/>
    <mergeCell ref="A8:F8"/>
    <mergeCell ref="B9:C9"/>
    <mergeCell ref="B15:C15"/>
    <mergeCell ref="B21:C21"/>
    <mergeCell ref="B22:C22"/>
    <mergeCell ref="B10:C10"/>
    <mergeCell ref="B16:C16"/>
    <mergeCell ref="B20:C20"/>
    <mergeCell ref="B17:C17"/>
    <mergeCell ref="B18:C18"/>
    <mergeCell ref="B43:D43"/>
    <mergeCell ref="E43:F43"/>
    <mergeCell ref="B29:C29"/>
    <mergeCell ref="B48:D48"/>
    <mergeCell ref="E48:F48"/>
    <mergeCell ref="B40:D40"/>
    <mergeCell ref="E40:F40"/>
    <mergeCell ref="B41:D41"/>
    <mergeCell ref="E41:F41"/>
    <mergeCell ref="B42:D42"/>
    <mergeCell ref="E42:F42"/>
    <mergeCell ref="B49:D49"/>
    <mergeCell ref="E49:F49"/>
    <mergeCell ref="B44:D44"/>
    <mergeCell ref="E44:F44"/>
    <mergeCell ref="B45:D45"/>
    <mergeCell ref="E45:F45"/>
    <mergeCell ref="B47:D47"/>
    <mergeCell ref="E47:F47"/>
    <mergeCell ref="E58:F58"/>
    <mergeCell ref="E59:F59"/>
    <mergeCell ref="E60:F60"/>
    <mergeCell ref="E61:F61"/>
    <mergeCell ref="A56:F57"/>
    <mergeCell ref="B58:D58"/>
    <mergeCell ref="B59:D59"/>
    <mergeCell ref="B60:D60"/>
    <mergeCell ref="B61:D61"/>
  </mergeCells>
  <printOptions horizontalCentered="1"/>
  <pageMargins left="0.7" right="0.7" top="0.75" bottom="0.5" header="0.3" footer="0.3"/>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Bhayender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intel</dc:creator>
  <cp:lastModifiedBy>akhilesh Yadav</cp:lastModifiedBy>
  <cp:lastPrinted>2022-07-15T17:21:52Z</cp:lastPrinted>
  <dcterms:created xsi:type="dcterms:W3CDTF">2020-11-10T03:41:00Z</dcterms:created>
  <dcterms:modified xsi:type="dcterms:W3CDTF">2024-08-22T12:58:09Z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1033-11.2.0.9739</vt:lpwstr>
  </property>
</Properties>
</file>