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SHMI\August 2024\Jyd Infra Pvt. Ltd. - SBI\"/>
    </mc:Choice>
  </mc:AlternateContent>
  <xr:revisionPtr revIDLastSave="0" documentId="13_ncr:1_{C743BAD8-248D-4266-8064-7D770299EAA3}" xr6:coauthVersionLast="45" xr6:coauthVersionMax="47" xr10:uidLastSave="{00000000-0000-0000-0000-000000000000}"/>
  <bookViews>
    <workbookView xWindow="-120" yWindow="-120" windowWidth="29040" windowHeight="15720" xr2:uid="{17501EDE-88A1-4C4A-A59C-BB07E32749BB}"/>
  </bookViews>
  <sheets>
    <sheet name="Calculation of Flats" sheetId="6" r:id="rId1"/>
    <sheet name="Depreciation (2)" sheetId="5" r:id="rId2"/>
    <sheet name="Calculation of Flats (Yogesh v)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8" i="7" l="1"/>
  <c r="F25" i="7"/>
  <c r="F26" i="7" s="1"/>
  <c r="B25" i="7"/>
  <c r="F19" i="7"/>
  <c r="F27" i="7" s="1"/>
  <c r="B19" i="7"/>
  <c r="B27" i="7" s="1"/>
  <c r="F11" i="7"/>
  <c r="F10" i="7"/>
  <c r="B10" i="7"/>
  <c r="B11" i="7" s="1"/>
  <c r="F8" i="7"/>
  <c r="B8" i="7"/>
  <c r="C7" i="7"/>
  <c r="F6" i="7"/>
  <c r="F12" i="7" s="1"/>
  <c r="F13" i="7" s="1"/>
  <c r="B6" i="7"/>
  <c r="F5" i="7"/>
  <c r="F14" i="7" s="1"/>
  <c r="B5" i="7"/>
  <c r="B14" i="7" s="1"/>
  <c r="C7" i="6"/>
  <c r="B19" i="6"/>
  <c r="E3" i="5"/>
  <c r="C19" i="5"/>
  <c r="D23" i="5"/>
  <c r="C20" i="5"/>
  <c r="C4" i="5"/>
  <c r="D14" i="5"/>
  <c r="D15" i="5" s="1"/>
  <c r="F19" i="6"/>
  <c r="F16" i="7" l="1"/>
  <c r="F20" i="7" s="1"/>
  <c r="F21" i="7" s="1"/>
  <c r="F22" i="7" s="1"/>
  <c r="B13" i="7"/>
  <c r="B16" i="7" s="1"/>
  <c r="B20" i="7" s="1"/>
  <c r="B21" i="7" s="1"/>
  <c r="B12" i="7"/>
  <c r="B26" i="7"/>
  <c r="C22" i="5"/>
  <c r="C24" i="5" s="1"/>
  <c r="C25" i="5" s="1"/>
  <c r="E25" i="5" s="1"/>
  <c r="F25" i="6" s="1"/>
  <c r="E20" i="5"/>
  <c r="B10" i="6"/>
  <c r="B11" i="6" s="1"/>
  <c r="F27" i="6"/>
  <c r="B88" i="6"/>
  <c r="B27" i="6"/>
  <c r="F10" i="6"/>
  <c r="F11" i="6" s="1"/>
  <c r="F8" i="6"/>
  <c r="B8" i="6"/>
  <c r="F6" i="6"/>
  <c r="B6" i="6"/>
  <c r="F5" i="6"/>
  <c r="F14" i="6" s="1"/>
  <c r="B5" i="6"/>
  <c r="B14" i="6" s="1"/>
  <c r="C14" i="5"/>
  <c r="C15" i="5" s="1"/>
  <c r="P10" i="5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46" i="5" s="1"/>
  <c r="P47" i="5" s="1"/>
  <c r="P48" i="5" s="1"/>
  <c r="P49" i="5" s="1"/>
  <c r="P50" i="5" s="1"/>
  <c r="P51" i="5" s="1"/>
  <c r="P52" i="5" s="1"/>
  <c r="P53" i="5" s="1"/>
  <c r="P54" i="5" s="1"/>
  <c r="P55" i="5" s="1"/>
  <c r="P56" i="5" s="1"/>
  <c r="P57" i="5" s="1"/>
  <c r="P58" i="5" s="1"/>
  <c r="P59" i="5" s="1"/>
  <c r="P60" i="5" s="1"/>
  <c r="P61" i="5" s="1"/>
  <c r="P62" i="5" s="1"/>
  <c r="P63" i="5" s="1"/>
  <c r="D8" i="5"/>
  <c r="C5" i="5"/>
  <c r="C7" i="5" s="1"/>
  <c r="F29" i="7" l="1"/>
  <c r="B22" i="7"/>
  <c r="B29" i="7"/>
  <c r="C21" i="7"/>
  <c r="F23" i="7"/>
  <c r="F24" i="7"/>
  <c r="C9" i="5"/>
  <c r="C10" i="5" s="1"/>
  <c r="E10" i="5" s="1"/>
  <c r="B25" i="6"/>
  <c r="B26" i="6" s="1"/>
  <c r="F26" i="6"/>
  <c r="F12" i="6"/>
  <c r="F13" i="6" s="1"/>
  <c r="F16" i="6" s="1"/>
  <c r="B12" i="6"/>
  <c r="B13" i="6" s="1"/>
  <c r="B16" i="6" s="1"/>
  <c r="E5" i="5"/>
  <c r="B23" i="7" l="1"/>
  <c r="H23" i="7" s="1"/>
  <c r="B24" i="7"/>
  <c r="H24" i="7" s="1"/>
  <c r="H22" i="7"/>
  <c r="B20" i="6"/>
  <c r="B21" i="6" s="1"/>
  <c r="F20" i="6"/>
  <c r="F21" i="6" s="1"/>
  <c r="F22" i="6" s="1"/>
  <c r="F24" i="6" s="1"/>
  <c r="F29" i="6" l="1"/>
  <c r="F23" i="6"/>
  <c r="C21" i="6"/>
  <c r="B29" i="6"/>
  <c r="B22" i="6"/>
  <c r="H22" i="6" s="1"/>
  <c r="B24" i="6" l="1"/>
  <c r="H24" i="6" s="1"/>
  <c r="B23" i="6"/>
  <c r="H23" i="6" s="1"/>
</calcChain>
</file>

<file path=xl/sharedStrings.xml><?xml version="1.0" encoding="utf-8"?>
<sst xmlns="http://schemas.openxmlformats.org/spreadsheetml/2006/main" count="155" uniqueCount="58">
  <si>
    <t>Floor</t>
  </si>
  <si>
    <t>New Construction Rate</t>
  </si>
  <si>
    <t>rate on CA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</si>
  <si>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</si>
  <si>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</si>
  <si>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</si>
  <si>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</si>
  <si>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</si>
  <si>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</si>
  <si>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</si>
  <si>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</si>
  <si>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</si>
  <si>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</si>
  <si>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Flat</t>
  </si>
  <si>
    <t>Flat Value</t>
  </si>
  <si>
    <t>Govt. Value</t>
  </si>
  <si>
    <t>IV</t>
  </si>
  <si>
    <t>RR Value</t>
  </si>
  <si>
    <t>Rental Value</t>
  </si>
  <si>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</si>
  <si>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</si>
  <si>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</si>
  <si>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</si>
  <si>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</si>
  <si>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</si>
  <si>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(5th -10th Floor)</t>
  </si>
  <si>
    <t>Mumbai</t>
  </si>
  <si>
    <t>Thane</t>
  </si>
  <si>
    <t>Guideline Rate (New Property) -A</t>
  </si>
  <si>
    <t>Sq. Mtr.</t>
  </si>
  <si>
    <t>Sq. Ft.</t>
  </si>
  <si>
    <t>(-) Land Cost - B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</si>
  <si>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</si>
  <si>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</si>
  <si>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</si>
  <si>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</si>
  <si>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</si>
  <si>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</si>
  <si>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</si>
  <si>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</si>
  <si>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</si>
  <si>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</si>
  <si>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</si>
  <si>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</si>
  <si>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</si>
  <si>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Age of the Building</t>
  </si>
  <si>
    <t>Life of the building estimated</t>
  </si>
  <si>
    <t>Fair Market Value</t>
  </si>
  <si>
    <t>Realizable Value</t>
  </si>
  <si>
    <t>Distress Value</t>
  </si>
  <si>
    <t>Carpet Area</t>
  </si>
  <si>
    <t>Built Up Area</t>
  </si>
  <si>
    <t xml:space="preserve">Guideline Rate </t>
  </si>
  <si>
    <t>Flat No. 1501 &amp; 1504</t>
  </si>
  <si>
    <t>Flat No. 602</t>
  </si>
  <si>
    <t>Increased 5% for Higher floor (11th -20th Floor)</t>
  </si>
  <si>
    <t>Flat No. 201</t>
  </si>
  <si>
    <t>Flat No.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</si>
</sst>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43" fontId="0" fillId="0" borderId="0" xfId="1" applyFont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4" xfId="0" applyBorder="1"/>
    <xf numFmtId="43" fontId="4" fillId="0" borderId="0" xfId="1" applyFont="1" applyBorder="1"/>
    <xf numFmtId="43" fontId="4" fillId="2" borderId="0" xfId="1" applyFont="1" applyFill="1" applyBorder="1"/>
    <xf numFmtId="0" fontId="0" fillId="0" borderId="4" xfId="0" applyBorder="1" applyAlignment="1">
      <alignment wrapText="1"/>
    </xf>
    <xf numFmtId="0" fontId="4" fillId="0" borderId="0" xfId="0" applyFont="1"/>
    <xf numFmtId="10" fontId="4" fillId="0" borderId="0" xfId="0" applyNumberFormat="1" applyFont="1"/>
    <xf numFmtId="0" fontId="0" fillId="2" borderId="4" xfId="0" applyFill="1" applyBorder="1"/>
    <xf numFmtId="43" fontId="4" fillId="2" borderId="0" xfId="1" applyFont="1" applyFill="1"/>
    <xf numFmtId="43" fontId="4" fillId="0" borderId="0" xfId="0" applyNumberFormat="1" applyFont="1"/>
    <xf numFmtId="9" fontId="0" fillId="0" borderId="0" xfId="2" applyFont="1"/>
    <xf numFmtId="43" fontId="3" fillId="0" borderId="0" xfId="0" applyNumberFormat="1" applyFont="1"/>
    <xf numFmtId="0" fontId="0" fillId="0" borderId="6" xfId="0" applyBorder="1"/>
    <xf numFmtId="43" fontId="3" fillId="0" borderId="7" xfId="0" applyNumberFormat="1" applyFont="1" applyBorder="1"/>
    <xf numFmtId="0" fontId="3" fillId="0" borderId="0" xfId="0" applyFont="1"/>
    <xf numFmtId="0" fontId="3" fillId="0" borderId="4" xfId="0" applyFont="1" applyBorder="1"/>
    <xf numFmtId="9" fontId="0" fillId="0" borderId="0" xfId="0" applyNumberFormat="1"/>
    <xf numFmtId="0" fontId="5" fillId="0" borderId="0" xfId="0" applyFont="1"/>
    <xf numFmtId="0" fontId="0" fillId="2" borderId="11" xfId="0" applyFill="1" applyBorder="1"/>
    <xf numFmtId="43" fontId="0" fillId="2" borderId="11" xfId="1" applyFont="1" applyFill="1" applyBorder="1"/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0" fillId="0" borderId="14" xfId="0" applyBorder="1"/>
    <xf numFmtId="0" fontId="6" fillId="0" borderId="14" xfId="0" applyFont="1" applyBorder="1" applyAlignment="1">
      <alignment wrapText="1"/>
    </xf>
    <xf numFmtId="0" fontId="0" fillId="0" borderId="15" xfId="0" applyBorder="1"/>
    <xf numFmtId="0" fontId="6" fillId="0" borderId="9" xfId="0" applyFont="1" applyBorder="1"/>
    <xf numFmtId="0" fontId="0" fillId="0" borderId="16" xfId="0" applyBorder="1"/>
    <xf numFmtId="0" fontId="0" fillId="0" borderId="10" xfId="0" applyBorder="1"/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0" fillId="0" borderId="19" xfId="0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0" fillId="0" borderId="21" xfId="0" applyBorder="1"/>
    <xf numFmtId="43" fontId="0" fillId="2" borderId="11" xfId="0" applyNumberFormat="1" applyFill="1" applyBorder="1"/>
    <xf numFmtId="0" fontId="0" fillId="0" borderId="20" xfId="0" applyBorder="1"/>
    <xf numFmtId="0" fontId="6" fillId="0" borderId="17" xfId="0" applyFont="1" applyBorder="1" applyAlignment="1">
      <alignment horizontal="right" wrapText="1"/>
    </xf>
    <xf numFmtId="0" fontId="2" fillId="0" borderId="19" xfId="0" applyFont="1" applyBorder="1"/>
    <xf numFmtId="0" fontId="2" fillId="0" borderId="20" xfId="0" applyFont="1" applyBorder="1"/>
    <xf numFmtId="9" fontId="0" fillId="2" borderId="11" xfId="1" applyNumberFormat="1" applyFont="1" applyFill="1" applyBorder="1"/>
    <xf numFmtId="9" fontId="0" fillId="2" borderId="11" xfId="0" applyNumberFormat="1" applyFill="1" applyBorder="1"/>
    <xf numFmtId="0" fontId="0" fillId="2" borderId="11" xfId="0" applyFill="1" applyBorder="1" applyAlignment="1">
      <alignment wrapText="1"/>
    </xf>
    <xf numFmtId="0" fontId="0" fillId="2" borderId="0" xfId="0" applyFill="1"/>
    <xf numFmtId="0" fontId="0" fillId="0" borderId="19" xfId="0" quotePrefix="1" applyBorder="1"/>
    <xf numFmtId="9" fontId="0" fillId="0" borderId="20" xfId="0" applyNumberFormat="1" applyBorder="1"/>
    <xf numFmtId="17" fontId="0" fillId="0" borderId="19" xfId="0" quotePrefix="1" applyNumberFormat="1" applyBorder="1"/>
    <xf numFmtId="43" fontId="0" fillId="0" borderId="0" xfId="1" applyFont="1" applyBorder="1"/>
    <xf numFmtId="0" fontId="2" fillId="0" borderId="11" xfId="0" applyFont="1" applyBorder="1"/>
    <xf numFmtId="0" fontId="2" fillId="0" borderId="11" xfId="1" applyNumberFormat="1" applyFont="1" applyBorder="1"/>
    <xf numFmtId="43" fontId="0" fillId="0" borderId="0" xfId="0" applyNumberFormat="1"/>
    <xf numFmtId="0" fontId="0" fillId="0" borderId="22" xfId="0" applyBorder="1"/>
    <xf numFmtId="9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7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6" fillId="0" borderId="28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6" fillId="0" borderId="0" xfId="0" applyFont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A60C-FDBC-441A-8748-C0618C18A823}">
  <dimension ref="A1:H88"/>
  <sheetViews>
    <sheetView tabSelected="1" workbookViewId="0">
      <selection activeCell="K22" sqref="K22"/>
    </sheetView>
  </sheetViews>
  <sheetFormatPr defaultColWidth="14.140625" defaultRowHeight="15" x14ac:dyDescent="0.25"/>
  <cols>
    <col min="1" max="1" width="33.28515625" bestFit="1" customWidth="1"/>
    <col min="2" max="2" width="14.28515625" style="20" bestFit="1" customWidth="1"/>
    <col min="3" max="3" width="11" style="20" bestFit="1" customWidth="1"/>
    <col min="4" max="4" width="10.28515625" customWidth="1"/>
    <col min="5" max="5" width="33.28515625" bestFit="1" customWidth="1"/>
    <col min="6" max="6" width="14.28515625" bestFit="1" customWidth="1"/>
    <col min="7" max="7" width="11" bestFit="1" customWidth="1"/>
    <col min="8" max="8" width="15.28515625" bestFit="1" customWidth="1"/>
  </cols>
  <sheetData>
    <row r="1" spans="1:7" x14ac:dyDescent="0.25">
      <c r="A1" s="2"/>
      <c r="B1" s="3"/>
      <c r="C1" s="4"/>
    </row>
    <row r="2" spans="1:7" x14ac:dyDescent="0.25">
      <c r="A2" s="69" t="s">
        <v>56</v>
      </c>
      <c r="B2" s="70"/>
      <c r="C2" s="6"/>
      <c r="E2" s="69" t="s">
        <v>57</v>
      </c>
      <c r="F2" s="70"/>
      <c r="G2" s="6"/>
    </row>
    <row r="3" spans="1:7" x14ac:dyDescent="0.25">
      <c r="A3" s="7" t="s">
        <v>1</v>
      </c>
      <c r="B3" s="8">
        <v>25500</v>
      </c>
      <c r="C3" s="9" t="s">
        <v>2</v>
      </c>
      <c r="E3" s="7" t="s">
        <v>1</v>
      </c>
      <c r="F3" s="8">
        <v>25500</v>
      </c>
      <c r="G3" s="9" t="s">
        <v>2</v>
      </c>
    </row>
    <row r="4" spans="1:7" x14ac:dyDescent="0.25">
      <c r="A4" s="10" t="s">
        <v>3</v>
      </c>
      <c r="B4" s="8">
        <v>3000</v>
      </c>
      <c r="C4"/>
      <c r="E4" s="10" t="s">
        <v>3</v>
      </c>
      <c r="F4" s="8">
        <v>3000</v>
      </c>
    </row>
    <row r="5" spans="1:7" x14ac:dyDescent="0.25">
      <c r="A5" s="7" t="s">
        <v>4</v>
      </c>
      <c r="B5" s="8">
        <f>B3-B4</f>
        <v>22500</v>
      </c>
      <c r="C5"/>
      <c r="E5" s="7" t="s">
        <v>4</v>
      </c>
      <c r="F5" s="8">
        <f>F3-F4</f>
        <v>22500</v>
      </c>
    </row>
    <row r="6" spans="1:7" x14ac:dyDescent="0.25">
      <c r="A6" s="7" t="s">
        <v>5</v>
      </c>
      <c r="B6" s="8">
        <f>B4</f>
        <v>3000</v>
      </c>
      <c r="C6"/>
      <c r="E6" s="7" t="s">
        <v>5</v>
      </c>
      <c r="F6" s="8">
        <f>F4</f>
        <v>3000</v>
      </c>
    </row>
    <row r="7" spans="1:7" x14ac:dyDescent="0.25">
      <c r="A7" s="7" t="s">
        <v>6</v>
      </c>
      <c r="B7" s="11">
        <v>8</v>
      </c>
      <c r="C7">
        <f>2024-2016</f>
        <v>8</v>
      </c>
      <c r="E7" s="7" t="s">
        <v>6</v>
      </c>
      <c r="F7" s="11">
        <v>8</v>
      </c>
    </row>
    <row r="8" spans="1:7" x14ac:dyDescent="0.25">
      <c r="A8" s="7" t="s">
        <v>7</v>
      </c>
      <c r="B8" s="11">
        <f>B9-B7</f>
        <v>52</v>
      </c>
      <c r="C8"/>
      <c r="E8" s="7" t="s">
        <v>7</v>
      </c>
      <c r="F8" s="11">
        <f>F9-F7</f>
        <v>52</v>
      </c>
    </row>
    <row r="9" spans="1:7" x14ac:dyDescent="0.25">
      <c r="A9" s="7" t="s">
        <v>8</v>
      </c>
      <c r="B9" s="11">
        <v>60</v>
      </c>
      <c r="C9"/>
      <c r="E9" s="7" t="s">
        <v>8</v>
      </c>
      <c r="F9" s="11">
        <v>60</v>
      </c>
    </row>
    <row r="10" spans="1:7" ht="45" customHeight="1" x14ac:dyDescent="0.25">
      <c r="A10" s="10" t="s">
        <v>9</v>
      </c>
      <c r="B10" s="11">
        <f>90*B7/B9</f>
        <v>12</v>
      </c>
      <c r="C10"/>
      <c r="E10" s="10" t="s">
        <v>9</v>
      </c>
      <c r="F10" s="11">
        <f>90*F7/F9</f>
        <v>12</v>
      </c>
    </row>
    <row r="11" spans="1:7" x14ac:dyDescent="0.25">
      <c r="A11" s="7"/>
      <c r="B11" s="12">
        <f>B10%</f>
        <v>0.12</v>
      </c>
      <c r="C11"/>
      <c r="E11" s="7"/>
      <c r="F11" s="12">
        <f>F10%</f>
        <v>0.12</v>
      </c>
    </row>
    <row r="12" spans="1:7" x14ac:dyDescent="0.25">
      <c r="A12" s="7" t="s">
        <v>10</v>
      </c>
      <c r="B12" s="8">
        <f>B6*B11</f>
        <v>360</v>
      </c>
      <c r="C12"/>
      <c r="E12" s="7" t="s">
        <v>10</v>
      </c>
      <c r="F12" s="8">
        <f>F6*F11</f>
        <v>360</v>
      </c>
    </row>
    <row r="13" spans="1:7" x14ac:dyDescent="0.25">
      <c r="A13" s="7" t="s">
        <v>11</v>
      </c>
      <c r="B13" s="8">
        <f>B6-B12</f>
        <v>2640</v>
      </c>
      <c r="C13"/>
      <c r="E13" s="7" t="s">
        <v>11</v>
      </c>
      <c r="F13" s="8">
        <f>F6-F12</f>
        <v>2640</v>
      </c>
    </row>
    <row r="14" spans="1:7" x14ac:dyDescent="0.25">
      <c r="A14" s="7" t="s">
        <v>4</v>
      </c>
      <c r="B14" s="8">
        <f>B5</f>
        <v>22500</v>
      </c>
      <c r="C14"/>
      <c r="E14" s="7" t="s">
        <v>4</v>
      </c>
      <c r="F14" s="8">
        <f>F5</f>
        <v>22500</v>
      </c>
    </row>
    <row r="15" spans="1:7" x14ac:dyDescent="0.25">
      <c r="B15" s="8"/>
      <c r="C15"/>
      <c r="F15" s="8"/>
    </row>
    <row r="16" spans="1:7" x14ac:dyDescent="0.25">
      <c r="A16" s="13" t="s">
        <v>12</v>
      </c>
      <c r="B16" s="9">
        <f>ROUND(B14+B13,0)</f>
        <v>25140</v>
      </c>
      <c r="C16"/>
      <c r="E16" s="13" t="s">
        <v>12</v>
      </c>
      <c r="F16" s="9">
        <f>ROUND(F14+F13,0)</f>
        <v>25140</v>
      </c>
    </row>
    <row r="17" spans="1:8" x14ac:dyDescent="0.25">
      <c r="B17" s="11" t="s">
        <v>13</v>
      </c>
      <c r="C17"/>
      <c r="F17" s="11" t="s">
        <v>13</v>
      </c>
    </row>
    <row r="18" spans="1:8" x14ac:dyDescent="0.25">
      <c r="A18" s="13" t="s">
        <v>50</v>
      </c>
      <c r="B18" s="14">
        <v>3668</v>
      </c>
      <c r="C18"/>
      <c r="E18" s="13" t="s">
        <v>50</v>
      </c>
      <c r="F18" s="14">
        <v>3668</v>
      </c>
    </row>
    <row r="19" spans="1:8" x14ac:dyDescent="0.25">
      <c r="A19" s="13" t="s">
        <v>51</v>
      </c>
      <c r="B19" s="14">
        <f>ROUND(B18*1.1,0)</f>
        <v>4035</v>
      </c>
      <c r="C19"/>
      <c r="E19" s="13" t="s">
        <v>51</v>
      </c>
      <c r="F19" s="14">
        <f>ROUND(F18*1.2,0)</f>
        <v>4402</v>
      </c>
    </row>
    <row r="20" spans="1:8" x14ac:dyDescent="0.25">
      <c r="A20" s="13" t="s">
        <v>14</v>
      </c>
      <c r="B20" s="14">
        <f>B18*B16</f>
        <v>92213520</v>
      </c>
      <c r="C20"/>
      <c r="E20" s="13" t="s">
        <v>14</v>
      </c>
      <c r="F20" s="14">
        <f>F18*F16</f>
        <v>92213520</v>
      </c>
    </row>
    <row r="21" spans="1:8" x14ac:dyDescent="0.25">
      <c r="A21" s="7" t="s">
        <v>14</v>
      </c>
      <c r="B21" s="15">
        <f>B20</f>
        <v>92213520</v>
      </c>
      <c r="C21" s="1">
        <f>B21/B19</f>
        <v>22853.412639405204</v>
      </c>
      <c r="E21" s="7" t="s">
        <v>14</v>
      </c>
      <c r="F21" s="15">
        <f>F20</f>
        <v>92213520</v>
      </c>
      <c r="G21" s="1"/>
    </row>
    <row r="22" spans="1:8" x14ac:dyDescent="0.25">
      <c r="A22" s="7" t="s">
        <v>47</v>
      </c>
      <c r="B22" s="15">
        <f>SUM(B21:B21)</f>
        <v>92213520</v>
      </c>
      <c r="C22" s="16"/>
      <c r="E22" s="7" t="s">
        <v>47</v>
      </c>
      <c r="F22" s="15">
        <f>SUM(F21:F21)</f>
        <v>92213520</v>
      </c>
      <c r="G22" s="16"/>
      <c r="H22" s="56">
        <f>B22+F22</f>
        <v>184427040</v>
      </c>
    </row>
    <row r="23" spans="1:8" x14ac:dyDescent="0.25">
      <c r="A23" s="7" t="s">
        <v>48</v>
      </c>
      <c r="B23" s="15">
        <f>ROUND(B22*0.9,0)</f>
        <v>82992168</v>
      </c>
      <c r="C23" s="16"/>
      <c r="E23" s="7" t="s">
        <v>48</v>
      </c>
      <c r="F23" s="15">
        <f>ROUND(F22*0.9,0)</f>
        <v>82992168</v>
      </c>
      <c r="G23" s="16"/>
      <c r="H23" s="56">
        <f>B23+F23</f>
        <v>165984336</v>
      </c>
    </row>
    <row r="24" spans="1:8" x14ac:dyDescent="0.25">
      <c r="A24" s="7" t="s">
        <v>49</v>
      </c>
      <c r="B24" s="15">
        <f>ROUND(B22*0.8,0)</f>
        <v>73770816</v>
      </c>
      <c r="C24" s="16"/>
      <c r="E24" s="7" t="s">
        <v>49</v>
      </c>
      <c r="F24" s="15">
        <f>ROUND(F22*0.8,0)</f>
        <v>73770816</v>
      </c>
      <c r="G24" s="16"/>
      <c r="H24" s="56">
        <f>B24+F24</f>
        <v>147541632</v>
      </c>
    </row>
    <row r="25" spans="1:8" x14ac:dyDescent="0.25">
      <c r="A25" s="7" t="s">
        <v>52</v>
      </c>
      <c r="B25" s="15">
        <f>'Depreciation (2)'!E10</f>
        <v>11470</v>
      </c>
      <c r="C25" s="16"/>
      <c r="E25" s="7" t="s">
        <v>52</v>
      </c>
      <c r="F25" s="15">
        <f>'Depreciation (2)'!E25</f>
        <v>11650</v>
      </c>
      <c r="G25" s="16"/>
    </row>
    <row r="26" spans="1:8" x14ac:dyDescent="0.25">
      <c r="A26" s="7" t="s">
        <v>15</v>
      </c>
      <c r="B26" s="17">
        <f>B25*B19</f>
        <v>46281450</v>
      </c>
      <c r="C26"/>
      <c r="E26" s="7" t="s">
        <v>15</v>
      </c>
      <c r="F26" s="17">
        <f>F25*F19</f>
        <v>51283300</v>
      </c>
    </row>
    <row r="27" spans="1:8" x14ac:dyDescent="0.25">
      <c r="A27" s="18" t="s">
        <v>16</v>
      </c>
      <c r="B27" s="19">
        <f>B19*B4</f>
        <v>12105000</v>
      </c>
      <c r="C27"/>
      <c r="E27" s="18" t="s">
        <v>16</v>
      </c>
      <c r="F27" s="19">
        <f>F19*F4</f>
        <v>13206000</v>
      </c>
    </row>
    <row r="28" spans="1:8" x14ac:dyDescent="0.25">
      <c r="A28" s="7" t="s">
        <v>17</v>
      </c>
      <c r="C28"/>
      <c r="E28" s="7" t="s">
        <v>17</v>
      </c>
      <c r="F28" s="20"/>
    </row>
    <row r="29" spans="1:8" x14ac:dyDescent="0.25">
      <c r="A29" s="21" t="s">
        <v>18</v>
      </c>
      <c r="B29" s="17">
        <f>ROUND(B21*0.025/12,0)</f>
        <v>192112</v>
      </c>
      <c r="C29"/>
      <c r="E29" s="21" t="s">
        <v>18</v>
      </c>
      <c r="F29" s="17">
        <f>ROUND(F21*0.025/12,0)</f>
        <v>192112</v>
      </c>
    </row>
    <row r="30" spans="1:8" x14ac:dyDescent="0.25">
      <c r="B30" s="17"/>
      <c r="C30"/>
    </row>
    <row r="31" spans="1:8" x14ac:dyDescent="0.25">
      <c r="B31" s="15"/>
      <c r="C31"/>
    </row>
    <row r="32" spans="1:8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50" spans="1:8" s="20" customFormat="1" x14ac:dyDescent="0.25">
      <c r="A50" s="22"/>
      <c r="D50"/>
      <c r="E50"/>
      <c r="F50"/>
      <c r="G50"/>
      <c r="H50"/>
    </row>
    <row r="63" spans="1:8" s="20" customFormat="1" ht="15.75" x14ac:dyDescent="0.25">
      <c r="A63" s="23"/>
      <c r="D63"/>
      <c r="E63"/>
      <c r="F63"/>
      <c r="G63"/>
      <c r="H63"/>
    </row>
    <row r="64" spans="1:8" s="20" customFormat="1" ht="15.75" x14ac:dyDescent="0.25">
      <c r="A64" s="23"/>
      <c r="D64"/>
      <c r="E64"/>
      <c r="F64"/>
      <c r="G64"/>
      <c r="H64"/>
    </row>
    <row r="65" spans="1:8" s="20" customFormat="1" ht="15.75" x14ac:dyDescent="0.25">
      <c r="A65" s="23"/>
      <c r="D65"/>
      <c r="E65"/>
      <c r="F65"/>
      <c r="G65"/>
      <c r="H65"/>
    </row>
    <row r="66" spans="1:8" s="20" customFormat="1" ht="15.75" x14ac:dyDescent="0.25">
      <c r="A66" s="23"/>
      <c r="D66"/>
      <c r="E66"/>
      <c r="F66"/>
      <c r="G66"/>
      <c r="H66"/>
    </row>
    <row r="67" spans="1:8" s="20" customFormat="1" ht="15.75" x14ac:dyDescent="0.25">
      <c r="A67" s="23"/>
      <c r="D67"/>
      <c r="E67"/>
      <c r="F67"/>
      <c r="G67"/>
      <c r="H67"/>
    </row>
    <row r="68" spans="1:8" s="20" customFormat="1" ht="15.75" x14ac:dyDescent="0.25">
      <c r="A68" s="23"/>
      <c r="D68"/>
      <c r="E68"/>
      <c r="F68"/>
      <c r="G68"/>
      <c r="H68"/>
    </row>
    <row r="69" spans="1:8" s="20" customFormat="1" ht="15.75" x14ac:dyDescent="0.25">
      <c r="A69" s="23"/>
      <c r="D69"/>
      <c r="E69"/>
      <c r="F69"/>
      <c r="G69"/>
      <c r="H69"/>
    </row>
    <row r="88" spans="1:8" s="20" customFormat="1" x14ac:dyDescent="0.25">
      <c r="A88"/>
      <c r="B88" s="20">
        <f>B87*B86</f>
        <v>0</v>
      </c>
      <c r="D88"/>
      <c r="E88"/>
      <c r="F88"/>
      <c r="G88"/>
      <c r="H88"/>
    </row>
  </sheetData>
  <mergeCells count="2">
    <mergeCell ref="A2:B2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BCA1-9DB4-40AA-A7AE-610EDD2F3503}">
  <dimension ref="A1:Q75"/>
  <sheetViews>
    <sheetView zoomScaleNormal="100" workbookViewId="0">
      <selection activeCell="E4" sqref="E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0.7109375" bestFit="1" customWidth="1"/>
    <col min="5" max="5" width="15.42578125" bestFit="1" customWidth="1"/>
    <col min="6" max="6" width="6.42578125" bestFit="1" customWidth="1"/>
    <col min="7" max="7" width="8.28515625" style="5" customWidth="1"/>
    <col min="8" max="8" width="13.7109375" style="6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5"/>
    </row>
    <row r="2" spans="2:17" ht="15.75" thickBot="1" x14ac:dyDescent="0.3">
      <c r="B2" s="71" t="s">
        <v>53</v>
      </c>
      <c r="C2" s="71"/>
      <c r="D2" s="71"/>
      <c r="E2" s="71"/>
      <c r="F2" s="72"/>
      <c r="G2" s="73" t="s">
        <v>19</v>
      </c>
      <c r="H2" s="74"/>
    </row>
    <row r="3" spans="2:17" ht="27" thickBot="1" x14ac:dyDescent="0.3">
      <c r="B3" s="24" t="s">
        <v>20</v>
      </c>
      <c r="C3" s="25">
        <v>128550</v>
      </c>
      <c r="D3" s="24"/>
      <c r="E3" s="41">
        <f>C3*110%</f>
        <v>141405</v>
      </c>
      <c r="F3" s="24"/>
      <c r="G3" s="26" t="s">
        <v>21</v>
      </c>
      <c r="H3" s="27" t="s">
        <v>22</v>
      </c>
      <c r="I3" s="28"/>
      <c r="K3" s="29" t="s">
        <v>23</v>
      </c>
      <c r="L3" s="30"/>
      <c r="N3" s="31" t="s">
        <v>24</v>
      </c>
      <c r="O3" s="32"/>
      <c r="P3" s="32"/>
      <c r="Q3" s="33"/>
    </row>
    <row r="4" spans="2:17" ht="27" thickBot="1" x14ac:dyDescent="0.3">
      <c r="B4" s="24" t="s">
        <v>55</v>
      </c>
      <c r="C4" s="25">
        <f>C3*10%</f>
        <v>12855</v>
      </c>
      <c r="D4" s="24"/>
      <c r="E4" s="24"/>
      <c r="F4" s="24"/>
      <c r="G4" s="34">
        <v>1</v>
      </c>
      <c r="H4" s="35">
        <v>0</v>
      </c>
      <c r="I4" s="36">
        <v>100</v>
      </c>
      <c r="K4" s="37" t="s">
        <v>26</v>
      </c>
      <c r="L4" s="38" t="s">
        <v>27</v>
      </c>
      <c r="N4" s="26" t="s">
        <v>21</v>
      </c>
      <c r="O4" s="39" t="s">
        <v>22</v>
      </c>
      <c r="P4" s="40"/>
    </row>
    <row r="5" spans="2:17" ht="15.75" thickBot="1" x14ac:dyDescent="0.3">
      <c r="B5" s="24" t="s">
        <v>28</v>
      </c>
      <c r="C5" s="25">
        <f>C3+C4</f>
        <v>141405</v>
      </c>
      <c r="D5" s="24" t="s">
        <v>29</v>
      </c>
      <c r="E5" s="41">
        <f>ROUND(C5/10.764,0)</f>
        <v>13137</v>
      </c>
      <c r="F5" s="24" t="s">
        <v>30</v>
      </c>
      <c r="G5" s="34">
        <v>2</v>
      </c>
      <c r="H5" s="35">
        <v>0</v>
      </c>
      <c r="I5" s="36">
        <v>100</v>
      </c>
      <c r="K5" s="36">
        <v>2554.8123374210331</v>
      </c>
      <c r="L5" s="42">
        <v>2248.2348569305091</v>
      </c>
      <c r="N5" s="34">
        <v>1</v>
      </c>
      <c r="O5" s="43">
        <v>0</v>
      </c>
      <c r="P5" s="36">
        <v>100</v>
      </c>
    </row>
    <row r="6" spans="2:17" ht="15.75" thickBot="1" x14ac:dyDescent="0.3">
      <c r="B6" s="24" t="s">
        <v>31</v>
      </c>
      <c r="C6" s="25">
        <v>55950</v>
      </c>
      <c r="D6" s="24"/>
      <c r="E6" s="24"/>
      <c r="F6" s="24"/>
      <c r="G6" s="34">
        <v>3</v>
      </c>
      <c r="H6" s="35">
        <v>5</v>
      </c>
      <c r="I6" s="36">
        <v>95</v>
      </c>
      <c r="K6" s="44" t="s">
        <v>0</v>
      </c>
      <c r="L6" s="45" t="s">
        <v>32</v>
      </c>
      <c r="N6" s="34">
        <v>2</v>
      </c>
      <c r="O6" s="43">
        <v>0</v>
      </c>
      <c r="P6" s="36">
        <v>100</v>
      </c>
    </row>
    <row r="7" spans="2:17" ht="15.75" thickBot="1" x14ac:dyDescent="0.3">
      <c r="B7" s="24" t="s">
        <v>33</v>
      </c>
      <c r="C7" s="25">
        <f>C5-C6</f>
        <v>85455</v>
      </c>
      <c r="D7" s="24"/>
      <c r="E7" s="24"/>
      <c r="F7" s="24"/>
      <c r="G7" s="34">
        <v>4</v>
      </c>
      <c r="H7" s="35">
        <v>5</v>
      </c>
      <c r="I7" s="36">
        <v>95</v>
      </c>
      <c r="K7" s="36" t="s">
        <v>34</v>
      </c>
      <c r="L7" s="42" t="s">
        <v>35</v>
      </c>
      <c r="N7" s="34">
        <v>3</v>
      </c>
      <c r="O7" s="43">
        <v>5</v>
      </c>
      <c r="P7" s="36">
        <v>95</v>
      </c>
    </row>
    <row r="8" spans="2:17" ht="15.75" thickBot="1" x14ac:dyDescent="0.3">
      <c r="B8" s="24" t="s">
        <v>36</v>
      </c>
      <c r="C8" s="46">
        <v>0.21</v>
      </c>
      <c r="D8" s="47">
        <f>1-C8</f>
        <v>0.79</v>
      </c>
      <c r="E8" s="24"/>
      <c r="F8" s="24"/>
      <c r="G8" s="34">
        <v>5</v>
      </c>
      <c r="H8" s="35">
        <v>5</v>
      </c>
      <c r="I8" s="36">
        <v>95</v>
      </c>
      <c r="K8" s="36"/>
      <c r="L8" s="42"/>
      <c r="N8" s="34">
        <v>4</v>
      </c>
      <c r="O8" s="43">
        <v>5</v>
      </c>
      <c r="P8" s="36">
        <v>95</v>
      </c>
    </row>
    <row r="9" spans="2:17" ht="15.75" thickBot="1" x14ac:dyDescent="0.3">
      <c r="B9" s="48" t="s">
        <v>37</v>
      </c>
      <c r="C9" s="25">
        <f>ROUND(C7*D8,0)</f>
        <v>67509</v>
      </c>
      <c r="D9" s="49"/>
      <c r="E9" s="24"/>
      <c r="F9" s="24"/>
      <c r="G9" s="34">
        <v>6</v>
      </c>
      <c r="H9" s="35">
        <v>6</v>
      </c>
      <c r="I9" s="36">
        <v>94</v>
      </c>
      <c r="K9" s="50" t="s">
        <v>38</v>
      </c>
      <c r="L9" s="51">
        <v>0.05</v>
      </c>
      <c r="N9" s="34">
        <v>5</v>
      </c>
      <c r="O9" s="43">
        <v>5</v>
      </c>
      <c r="P9" s="36">
        <v>95</v>
      </c>
    </row>
    <row r="10" spans="2:17" ht="15.75" thickBot="1" x14ac:dyDescent="0.3">
      <c r="B10" s="24" t="s">
        <v>39</v>
      </c>
      <c r="C10" s="25">
        <f>C6+C9</f>
        <v>123459</v>
      </c>
      <c r="D10" s="24" t="s">
        <v>29</v>
      </c>
      <c r="E10" s="41">
        <f>ROUND(C10/10.764,0)</f>
        <v>11470</v>
      </c>
      <c r="F10" s="24" t="s">
        <v>30</v>
      </c>
      <c r="G10" s="34">
        <v>7</v>
      </c>
      <c r="H10" s="35">
        <v>7</v>
      </c>
      <c r="I10" s="36">
        <v>93</v>
      </c>
      <c r="K10" s="52" t="s">
        <v>40</v>
      </c>
      <c r="L10" s="51">
        <v>0.1</v>
      </c>
      <c r="N10" s="34">
        <v>6</v>
      </c>
      <c r="O10" s="43">
        <v>6.5</v>
      </c>
      <c r="P10" s="36">
        <f t="shared" ref="P10:P63" si="0">P9-1.5</f>
        <v>93.5</v>
      </c>
    </row>
    <row r="11" spans="2:17" ht="15.75" thickBot="1" x14ac:dyDescent="0.3">
      <c r="C11" s="53"/>
      <c r="G11" s="34">
        <v>8</v>
      </c>
      <c r="H11" s="35">
        <v>8</v>
      </c>
      <c r="I11" s="36">
        <v>92</v>
      </c>
      <c r="K11" s="36" t="s">
        <v>41</v>
      </c>
      <c r="L11" s="51">
        <v>0.15</v>
      </c>
      <c r="N11" s="34">
        <v>7</v>
      </c>
      <c r="O11" s="43">
        <v>8</v>
      </c>
      <c r="P11" s="36">
        <f t="shared" si="0"/>
        <v>92</v>
      </c>
    </row>
    <row r="12" spans="2:17" ht="15.75" thickBot="1" x14ac:dyDescent="0.3">
      <c r="B12" s="54" t="s">
        <v>42</v>
      </c>
      <c r="C12" s="55">
        <v>2024</v>
      </c>
      <c r="D12" s="55">
        <v>2024</v>
      </c>
      <c r="E12" s="56"/>
      <c r="G12" s="34">
        <v>9</v>
      </c>
      <c r="H12" s="35">
        <v>9</v>
      </c>
      <c r="I12" s="36">
        <v>91</v>
      </c>
      <c r="K12" s="57" t="s">
        <v>43</v>
      </c>
      <c r="L12" s="58">
        <v>0.2</v>
      </c>
      <c r="N12" s="34">
        <v>8</v>
      </c>
      <c r="O12" s="43">
        <v>9.5</v>
      </c>
      <c r="P12" s="36">
        <f t="shared" si="0"/>
        <v>90.5</v>
      </c>
    </row>
    <row r="13" spans="2:17" ht="15.75" thickBot="1" x14ac:dyDescent="0.3">
      <c r="B13" s="54" t="s">
        <v>44</v>
      </c>
      <c r="C13" s="55">
        <v>2005</v>
      </c>
      <c r="D13" s="55">
        <v>2003</v>
      </c>
      <c r="G13" s="34">
        <v>10</v>
      </c>
      <c r="H13" s="35">
        <v>10</v>
      </c>
      <c r="I13" s="36">
        <v>90</v>
      </c>
      <c r="K13" s="59"/>
      <c r="L13" s="60"/>
      <c r="N13" s="34">
        <v>9</v>
      </c>
      <c r="O13" s="43">
        <v>11</v>
      </c>
      <c r="P13" s="36">
        <f t="shared" si="0"/>
        <v>89</v>
      </c>
    </row>
    <row r="14" spans="2:17" ht="15.75" thickBot="1" x14ac:dyDescent="0.3">
      <c r="B14" s="54" t="s">
        <v>45</v>
      </c>
      <c r="C14" s="55">
        <f>C12-C13</f>
        <v>19</v>
      </c>
      <c r="D14" s="55">
        <f>D12-D13</f>
        <v>21</v>
      </c>
      <c r="G14" s="34">
        <v>11</v>
      </c>
      <c r="H14" s="35">
        <v>11</v>
      </c>
      <c r="I14" s="36">
        <v>89</v>
      </c>
      <c r="K14" s="61"/>
      <c r="L14" s="62"/>
      <c r="N14" s="34">
        <v>10</v>
      </c>
      <c r="O14" s="43">
        <v>12.5</v>
      </c>
      <c r="P14" s="36">
        <f t="shared" si="0"/>
        <v>87.5</v>
      </c>
    </row>
    <row r="15" spans="2:17" ht="17.25" thickBot="1" x14ac:dyDescent="0.35">
      <c r="B15" s="63" t="s">
        <v>46</v>
      </c>
      <c r="C15" s="54">
        <f>60-C14</f>
        <v>41</v>
      </c>
      <c r="D15" s="54">
        <f>60-D14</f>
        <v>39</v>
      </c>
      <c r="G15" s="34">
        <v>12</v>
      </c>
      <c r="H15" s="35">
        <v>12</v>
      </c>
      <c r="I15" s="36">
        <v>88</v>
      </c>
      <c r="N15" s="34">
        <v>11</v>
      </c>
      <c r="O15" s="43">
        <v>14</v>
      </c>
      <c r="P15" s="36">
        <f t="shared" si="0"/>
        <v>86</v>
      </c>
    </row>
    <row r="16" spans="2:17" ht="15.75" thickBot="1" x14ac:dyDescent="0.3">
      <c r="E16" s="56"/>
      <c r="G16" s="34">
        <v>13</v>
      </c>
      <c r="H16" s="35">
        <v>13</v>
      </c>
      <c r="I16" s="36">
        <v>87</v>
      </c>
      <c r="J16" s="56"/>
      <c r="N16" s="34">
        <v>12</v>
      </c>
      <c r="O16" s="43">
        <v>15.5</v>
      </c>
      <c r="P16" s="36">
        <f t="shared" si="0"/>
        <v>84.5</v>
      </c>
    </row>
    <row r="17" spans="1:16" ht="15.75" thickBot="1" x14ac:dyDescent="0.3">
      <c r="B17" s="71" t="s">
        <v>54</v>
      </c>
      <c r="C17" s="71"/>
      <c r="D17" s="71"/>
      <c r="E17" s="71"/>
      <c r="F17" s="72"/>
      <c r="G17" s="34">
        <v>14</v>
      </c>
      <c r="H17" s="35">
        <v>14</v>
      </c>
      <c r="I17" s="36">
        <v>86</v>
      </c>
      <c r="K17" s="56"/>
      <c r="L17" s="56"/>
      <c r="N17" s="34">
        <v>13</v>
      </c>
      <c r="O17" s="43">
        <v>17</v>
      </c>
      <c r="P17" s="36">
        <f t="shared" si="0"/>
        <v>83</v>
      </c>
    </row>
    <row r="18" spans="1:16" ht="15.75" thickBot="1" x14ac:dyDescent="0.3">
      <c r="B18" s="24" t="s">
        <v>20</v>
      </c>
      <c r="C18" s="25">
        <v>134430</v>
      </c>
      <c r="D18" s="24"/>
      <c r="E18" s="24"/>
      <c r="F18" s="24"/>
      <c r="G18" s="34">
        <v>15</v>
      </c>
      <c r="H18" s="35">
        <v>15</v>
      </c>
      <c r="I18" s="36">
        <v>85</v>
      </c>
      <c r="J18" s="56"/>
      <c r="L18" s="56"/>
      <c r="N18" s="34">
        <v>14</v>
      </c>
      <c r="O18" s="43">
        <v>18.5</v>
      </c>
      <c r="P18" s="36">
        <f t="shared" si="0"/>
        <v>81.5</v>
      </c>
    </row>
    <row r="19" spans="1:16" ht="15.75" thickBot="1" x14ac:dyDescent="0.3">
      <c r="B19" s="24" t="s">
        <v>25</v>
      </c>
      <c r="C19" s="25">
        <f>C18*5%</f>
        <v>6721.5</v>
      </c>
      <c r="D19" s="24"/>
      <c r="E19" s="24"/>
      <c r="F19" s="24"/>
      <c r="G19" s="34">
        <v>16</v>
      </c>
      <c r="H19" s="35">
        <v>16</v>
      </c>
      <c r="I19" s="36">
        <v>84</v>
      </c>
      <c r="N19" s="34">
        <v>15</v>
      </c>
      <c r="O19" s="43">
        <v>20</v>
      </c>
      <c r="P19" s="36">
        <f t="shared" si="0"/>
        <v>80</v>
      </c>
    </row>
    <row r="20" spans="1:16" ht="15.75" thickBot="1" x14ac:dyDescent="0.3">
      <c r="B20" s="24" t="s">
        <v>28</v>
      </c>
      <c r="C20" s="25">
        <f>C18+C19</f>
        <v>141151.5</v>
      </c>
      <c r="D20" s="24" t="s">
        <v>29</v>
      </c>
      <c r="E20" s="41">
        <f>ROUND(C20/10.764,0)</f>
        <v>13113</v>
      </c>
      <c r="F20" s="24" t="s">
        <v>30</v>
      </c>
      <c r="G20" s="34">
        <v>17</v>
      </c>
      <c r="H20" s="35">
        <v>17</v>
      </c>
      <c r="I20" s="36">
        <v>83</v>
      </c>
      <c r="N20" s="34">
        <v>16</v>
      </c>
      <c r="O20" s="43">
        <v>21.5</v>
      </c>
      <c r="P20" s="36">
        <f t="shared" si="0"/>
        <v>78.5</v>
      </c>
    </row>
    <row r="21" spans="1:16" ht="15.75" thickBot="1" x14ac:dyDescent="0.3">
      <c r="B21" s="24" t="s">
        <v>31</v>
      </c>
      <c r="C21" s="25">
        <v>58240</v>
      </c>
      <c r="D21" s="24"/>
      <c r="E21" s="24"/>
      <c r="F21" s="24"/>
      <c r="G21" s="34">
        <v>18</v>
      </c>
      <c r="H21" s="35">
        <v>18</v>
      </c>
      <c r="I21" s="36">
        <v>82</v>
      </c>
      <c r="N21" s="34">
        <v>17</v>
      </c>
      <c r="O21" s="43">
        <v>23</v>
      </c>
      <c r="P21" s="36">
        <f t="shared" si="0"/>
        <v>77</v>
      </c>
    </row>
    <row r="22" spans="1:16" ht="15.75" thickBot="1" x14ac:dyDescent="0.3">
      <c r="B22" s="24" t="s">
        <v>33</v>
      </c>
      <c r="C22" s="25">
        <f>C20-C21</f>
        <v>82911.5</v>
      </c>
      <c r="D22" s="24"/>
      <c r="E22" s="24"/>
      <c r="F22" s="24"/>
      <c r="G22" s="34">
        <v>19</v>
      </c>
      <c r="H22" s="35">
        <v>19</v>
      </c>
      <c r="I22" s="36">
        <v>81</v>
      </c>
      <c r="N22" s="34">
        <v>18</v>
      </c>
      <c r="O22" s="43">
        <v>24.5</v>
      </c>
      <c r="P22" s="36">
        <f t="shared" si="0"/>
        <v>75.5</v>
      </c>
    </row>
    <row r="23" spans="1:16" ht="15.75" thickBot="1" x14ac:dyDescent="0.3">
      <c r="B23" s="24" t="s">
        <v>36</v>
      </c>
      <c r="C23" s="46">
        <v>0.19</v>
      </c>
      <c r="D23" s="47">
        <f>1-C23</f>
        <v>0.81</v>
      </c>
      <c r="E23" s="24"/>
      <c r="F23" s="24"/>
      <c r="G23" s="34">
        <v>20</v>
      </c>
      <c r="H23" s="35">
        <v>20</v>
      </c>
      <c r="I23" s="36">
        <v>80</v>
      </c>
      <c r="N23" s="34">
        <v>19</v>
      </c>
      <c r="O23" s="43">
        <v>26</v>
      </c>
      <c r="P23" s="36">
        <f t="shared" si="0"/>
        <v>74</v>
      </c>
    </row>
    <row r="24" spans="1:16" ht="15.75" thickBot="1" x14ac:dyDescent="0.3">
      <c r="B24" s="48" t="s">
        <v>37</v>
      </c>
      <c r="C24" s="25">
        <f>ROUND(C22*D23,0)</f>
        <v>67158</v>
      </c>
      <c r="D24" s="49"/>
      <c r="E24" s="24"/>
      <c r="F24" s="24"/>
      <c r="G24" s="34">
        <v>21</v>
      </c>
      <c r="H24" s="35">
        <v>21</v>
      </c>
      <c r="I24" s="36">
        <v>79</v>
      </c>
      <c r="N24" s="34">
        <v>20</v>
      </c>
      <c r="O24" s="43">
        <v>27.5</v>
      </c>
      <c r="P24" s="36">
        <f t="shared" si="0"/>
        <v>72.5</v>
      </c>
    </row>
    <row r="25" spans="1:16" ht="15.75" thickBot="1" x14ac:dyDescent="0.3">
      <c r="B25" s="24" t="s">
        <v>39</v>
      </c>
      <c r="C25" s="25">
        <f>C21+C24</f>
        <v>125398</v>
      </c>
      <c r="D25" s="24" t="s">
        <v>29</v>
      </c>
      <c r="E25" s="41">
        <f>ROUND(C25/10.764,0)</f>
        <v>11650</v>
      </c>
      <c r="F25" s="24" t="s">
        <v>30</v>
      </c>
      <c r="G25" s="34">
        <v>22</v>
      </c>
      <c r="H25" s="35">
        <v>22</v>
      </c>
      <c r="I25" s="36">
        <v>78</v>
      </c>
      <c r="N25" s="34">
        <v>21</v>
      </c>
      <c r="O25" s="43">
        <v>29</v>
      </c>
      <c r="P25" s="36">
        <f t="shared" si="0"/>
        <v>71</v>
      </c>
    </row>
    <row r="26" spans="1:16" ht="15.75" thickBot="1" x14ac:dyDescent="0.3">
      <c r="G26" s="34">
        <v>23</v>
      </c>
      <c r="H26" s="35">
        <v>23</v>
      </c>
      <c r="I26" s="36">
        <v>77</v>
      </c>
      <c r="N26" s="34">
        <v>22</v>
      </c>
      <c r="O26" s="43">
        <v>30.5</v>
      </c>
      <c r="P26" s="36">
        <f t="shared" si="0"/>
        <v>69.5</v>
      </c>
    </row>
    <row r="27" spans="1:16" ht="15.75" thickBot="1" x14ac:dyDescent="0.3">
      <c r="G27" s="34">
        <v>24</v>
      </c>
      <c r="H27" s="35">
        <v>24</v>
      </c>
      <c r="I27" s="36">
        <v>76</v>
      </c>
      <c r="N27" s="34">
        <v>23</v>
      </c>
      <c r="O27" s="43">
        <v>32</v>
      </c>
      <c r="P27" s="36">
        <f t="shared" si="0"/>
        <v>68</v>
      </c>
    </row>
    <row r="28" spans="1:16" ht="15.75" thickBot="1" x14ac:dyDescent="0.3">
      <c r="G28" s="34">
        <v>25</v>
      </c>
      <c r="H28" s="35">
        <v>25</v>
      </c>
      <c r="I28" s="36">
        <v>75</v>
      </c>
      <c r="N28" s="34">
        <v>24</v>
      </c>
      <c r="O28" s="43">
        <v>33.5</v>
      </c>
      <c r="P28" s="36">
        <f t="shared" si="0"/>
        <v>66.5</v>
      </c>
    </row>
    <row r="29" spans="1:16" ht="15.75" thickBot="1" x14ac:dyDescent="0.3">
      <c r="G29" s="34">
        <v>26</v>
      </c>
      <c r="H29" s="35">
        <v>26</v>
      </c>
      <c r="I29" s="36">
        <v>74</v>
      </c>
      <c r="N29" s="34">
        <v>25</v>
      </c>
      <c r="O29" s="43">
        <v>35</v>
      </c>
      <c r="P29" s="36">
        <f t="shared" si="0"/>
        <v>65</v>
      </c>
    </row>
    <row r="30" spans="1:16" ht="15.75" thickBot="1" x14ac:dyDescent="0.3">
      <c r="G30" s="34">
        <v>27</v>
      </c>
      <c r="H30" s="35">
        <v>27</v>
      </c>
      <c r="I30" s="36">
        <v>73</v>
      </c>
      <c r="N30" s="34">
        <v>26</v>
      </c>
      <c r="O30" s="43">
        <v>36.5</v>
      </c>
      <c r="P30" s="36">
        <f t="shared" si="0"/>
        <v>63.5</v>
      </c>
    </row>
    <row r="31" spans="1:16" ht="15.75" thickBot="1" x14ac:dyDescent="0.3">
      <c r="A31" s="64"/>
      <c r="G31" s="34">
        <v>28</v>
      </c>
      <c r="H31" s="35">
        <v>28</v>
      </c>
      <c r="I31" s="36">
        <v>72</v>
      </c>
      <c r="N31" s="34">
        <v>27</v>
      </c>
      <c r="O31" s="43">
        <v>38</v>
      </c>
      <c r="P31" s="36">
        <f t="shared" si="0"/>
        <v>62</v>
      </c>
    </row>
    <row r="32" spans="1:16" ht="15.75" thickBot="1" x14ac:dyDescent="0.3">
      <c r="A32" s="64"/>
      <c r="G32" s="34">
        <v>29</v>
      </c>
      <c r="H32" s="35">
        <v>29</v>
      </c>
      <c r="I32" s="36">
        <v>71</v>
      </c>
      <c r="N32" s="34">
        <v>28</v>
      </c>
      <c r="O32" s="43">
        <v>39.5</v>
      </c>
      <c r="P32" s="36">
        <f t="shared" si="0"/>
        <v>60.5</v>
      </c>
    </row>
    <row r="33" spans="1:16" ht="15.75" thickBot="1" x14ac:dyDescent="0.3">
      <c r="A33" s="64"/>
      <c r="G33" s="34">
        <v>30</v>
      </c>
      <c r="H33" s="35">
        <v>30</v>
      </c>
      <c r="I33" s="36">
        <v>70</v>
      </c>
      <c r="N33" s="34">
        <v>29</v>
      </c>
      <c r="O33" s="43">
        <v>41</v>
      </c>
      <c r="P33" s="36">
        <f t="shared" si="0"/>
        <v>59</v>
      </c>
    </row>
    <row r="34" spans="1:16" ht="15.75" thickBot="1" x14ac:dyDescent="0.3">
      <c r="A34" s="64"/>
      <c r="G34" s="34">
        <v>31</v>
      </c>
      <c r="H34" s="35">
        <v>31</v>
      </c>
      <c r="I34" s="36">
        <v>69</v>
      </c>
      <c r="N34" s="34">
        <v>30</v>
      </c>
      <c r="O34" s="43">
        <v>42.5</v>
      </c>
      <c r="P34" s="36">
        <f t="shared" si="0"/>
        <v>57.5</v>
      </c>
    </row>
    <row r="35" spans="1:16" ht="15.75" thickBot="1" x14ac:dyDescent="0.3">
      <c r="A35" s="64"/>
      <c r="G35" s="34">
        <v>32</v>
      </c>
      <c r="H35" s="35">
        <v>32</v>
      </c>
      <c r="I35" s="36">
        <v>68</v>
      </c>
      <c r="N35" s="34">
        <v>31</v>
      </c>
      <c r="O35" s="43">
        <v>44</v>
      </c>
      <c r="P35" s="36">
        <f t="shared" si="0"/>
        <v>56</v>
      </c>
    </row>
    <row r="36" spans="1:16" ht="15.75" thickBot="1" x14ac:dyDescent="0.3">
      <c r="A36" s="65"/>
      <c r="G36" s="34">
        <v>33</v>
      </c>
      <c r="H36" s="35">
        <v>33</v>
      </c>
      <c r="I36" s="36">
        <v>67</v>
      </c>
      <c r="N36" s="34">
        <v>32</v>
      </c>
      <c r="O36" s="43">
        <v>45.5</v>
      </c>
      <c r="P36" s="36">
        <f t="shared" si="0"/>
        <v>54.5</v>
      </c>
    </row>
    <row r="37" spans="1:16" ht="15.75" thickBot="1" x14ac:dyDescent="0.3">
      <c r="A37" s="64"/>
      <c r="G37" s="34">
        <v>34</v>
      </c>
      <c r="H37" s="35">
        <v>34</v>
      </c>
      <c r="I37" s="36">
        <v>66</v>
      </c>
      <c r="N37" s="34">
        <v>33</v>
      </c>
      <c r="O37" s="43">
        <v>47</v>
      </c>
      <c r="P37" s="36">
        <f t="shared" si="0"/>
        <v>53</v>
      </c>
    </row>
    <row r="38" spans="1:16" ht="15.75" thickBot="1" x14ac:dyDescent="0.3">
      <c r="G38" s="34">
        <v>35</v>
      </c>
      <c r="H38" s="35">
        <v>35</v>
      </c>
      <c r="I38" s="36">
        <v>65</v>
      </c>
      <c r="N38" s="34">
        <v>34</v>
      </c>
      <c r="O38" s="43">
        <v>48.5</v>
      </c>
      <c r="P38" s="36">
        <f t="shared" si="0"/>
        <v>51.5</v>
      </c>
    </row>
    <row r="39" spans="1:16" ht="15.75" thickBot="1" x14ac:dyDescent="0.3">
      <c r="G39" s="34">
        <v>36</v>
      </c>
      <c r="H39" s="35">
        <v>36</v>
      </c>
      <c r="I39" s="36">
        <v>64</v>
      </c>
      <c r="N39" s="34">
        <v>35</v>
      </c>
      <c r="O39" s="43">
        <v>50</v>
      </c>
      <c r="P39" s="36">
        <f t="shared" si="0"/>
        <v>50</v>
      </c>
    </row>
    <row r="40" spans="1:16" ht="15.75" thickBot="1" x14ac:dyDescent="0.3">
      <c r="G40" s="34">
        <v>37</v>
      </c>
      <c r="H40" s="35">
        <v>37</v>
      </c>
      <c r="I40" s="36">
        <v>63</v>
      </c>
      <c r="N40" s="34">
        <v>36</v>
      </c>
      <c r="O40" s="43">
        <v>51.5</v>
      </c>
      <c r="P40" s="36">
        <f t="shared" si="0"/>
        <v>48.5</v>
      </c>
    </row>
    <row r="41" spans="1:16" ht="15.75" thickBot="1" x14ac:dyDescent="0.3">
      <c r="G41" s="34">
        <v>38</v>
      </c>
      <c r="H41" s="35">
        <v>38</v>
      </c>
      <c r="I41" s="36">
        <v>62</v>
      </c>
      <c r="N41" s="34">
        <v>37</v>
      </c>
      <c r="O41" s="43">
        <v>53</v>
      </c>
      <c r="P41" s="36">
        <f t="shared" si="0"/>
        <v>47</v>
      </c>
    </row>
    <row r="42" spans="1:16" ht="15.75" thickBot="1" x14ac:dyDescent="0.3">
      <c r="G42" s="34">
        <v>39</v>
      </c>
      <c r="H42" s="35">
        <v>39</v>
      </c>
      <c r="I42" s="36">
        <v>61</v>
      </c>
      <c r="N42" s="34">
        <v>38</v>
      </c>
      <c r="O42" s="43">
        <v>54.5</v>
      </c>
      <c r="P42" s="36">
        <f t="shared" si="0"/>
        <v>45.5</v>
      </c>
    </row>
    <row r="43" spans="1:16" ht="15.75" thickBot="1" x14ac:dyDescent="0.3">
      <c r="G43" s="34">
        <v>40</v>
      </c>
      <c r="H43" s="35">
        <v>40</v>
      </c>
      <c r="I43" s="36">
        <v>60</v>
      </c>
      <c r="N43" s="34">
        <v>39</v>
      </c>
      <c r="O43" s="43">
        <v>56</v>
      </c>
      <c r="P43" s="36">
        <f t="shared" si="0"/>
        <v>44</v>
      </c>
    </row>
    <row r="44" spans="1:16" ht="15.75" thickBot="1" x14ac:dyDescent="0.3">
      <c r="G44" s="34">
        <v>41</v>
      </c>
      <c r="H44" s="35">
        <v>41</v>
      </c>
      <c r="I44" s="36">
        <v>59</v>
      </c>
      <c r="N44" s="34">
        <v>40</v>
      </c>
      <c r="O44" s="43">
        <v>57.5</v>
      </c>
      <c r="P44" s="36">
        <f t="shared" si="0"/>
        <v>42.5</v>
      </c>
    </row>
    <row r="45" spans="1:16" ht="15.75" thickBot="1" x14ac:dyDescent="0.3">
      <c r="G45" s="34">
        <v>42</v>
      </c>
      <c r="H45" s="35">
        <v>42</v>
      </c>
      <c r="I45" s="36">
        <v>58</v>
      </c>
      <c r="N45" s="34">
        <v>41</v>
      </c>
      <c r="O45" s="43">
        <v>59</v>
      </c>
      <c r="P45" s="36">
        <f t="shared" si="0"/>
        <v>41</v>
      </c>
    </row>
    <row r="46" spans="1:16" ht="15.75" thickBot="1" x14ac:dyDescent="0.3">
      <c r="G46" s="34">
        <v>43</v>
      </c>
      <c r="H46" s="35">
        <v>43</v>
      </c>
      <c r="I46" s="36">
        <v>57</v>
      </c>
      <c r="N46" s="34">
        <v>42</v>
      </c>
      <c r="O46" s="43">
        <v>60.5</v>
      </c>
      <c r="P46" s="36">
        <f t="shared" si="0"/>
        <v>39.5</v>
      </c>
    </row>
    <row r="47" spans="1:16" ht="15.75" thickBot="1" x14ac:dyDescent="0.3">
      <c r="G47" s="34">
        <v>44</v>
      </c>
      <c r="H47" s="35">
        <v>44</v>
      </c>
      <c r="I47" s="36">
        <v>56</v>
      </c>
      <c r="N47" s="34">
        <v>43</v>
      </c>
      <c r="O47" s="43">
        <v>62</v>
      </c>
      <c r="P47" s="36">
        <f t="shared" si="0"/>
        <v>38</v>
      </c>
    </row>
    <row r="48" spans="1:16" ht="15.75" thickBot="1" x14ac:dyDescent="0.3">
      <c r="G48" s="34">
        <v>45</v>
      </c>
      <c r="H48" s="35">
        <v>45</v>
      </c>
      <c r="I48" s="36">
        <v>55</v>
      </c>
      <c r="N48" s="34">
        <v>44</v>
      </c>
      <c r="O48" s="43">
        <v>63.5</v>
      </c>
      <c r="P48" s="36">
        <f t="shared" si="0"/>
        <v>36.5</v>
      </c>
    </row>
    <row r="49" spans="7:16" ht="15.75" thickBot="1" x14ac:dyDescent="0.3">
      <c r="G49" s="34">
        <v>46</v>
      </c>
      <c r="H49" s="35">
        <v>46</v>
      </c>
      <c r="I49" s="36">
        <v>54</v>
      </c>
      <c r="N49" s="34">
        <v>45</v>
      </c>
      <c r="O49" s="43">
        <v>65</v>
      </c>
      <c r="P49" s="36">
        <f t="shared" si="0"/>
        <v>35</v>
      </c>
    </row>
    <row r="50" spans="7:16" ht="15.75" thickBot="1" x14ac:dyDescent="0.3">
      <c r="G50" s="34">
        <v>47</v>
      </c>
      <c r="H50" s="35">
        <v>47</v>
      </c>
      <c r="I50" s="36">
        <v>53</v>
      </c>
      <c r="N50" s="34">
        <v>46</v>
      </c>
      <c r="O50" s="43">
        <v>66.5</v>
      </c>
      <c r="P50" s="36">
        <f t="shared" si="0"/>
        <v>33.5</v>
      </c>
    </row>
    <row r="51" spans="7:16" ht="15.75" thickBot="1" x14ac:dyDescent="0.3">
      <c r="G51" s="34">
        <v>48</v>
      </c>
      <c r="H51" s="35">
        <v>48</v>
      </c>
      <c r="I51" s="36">
        <v>52</v>
      </c>
      <c r="N51" s="34">
        <v>47</v>
      </c>
      <c r="O51" s="43">
        <v>68</v>
      </c>
      <c r="P51" s="36">
        <f t="shared" si="0"/>
        <v>32</v>
      </c>
    </row>
    <row r="52" spans="7:16" ht="15.75" thickBot="1" x14ac:dyDescent="0.3">
      <c r="G52" s="34">
        <v>49</v>
      </c>
      <c r="H52" s="35">
        <v>49</v>
      </c>
      <c r="I52" s="36">
        <v>51</v>
      </c>
      <c r="N52" s="34">
        <v>48</v>
      </c>
      <c r="O52" s="43">
        <v>69.5</v>
      </c>
      <c r="P52" s="36">
        <f t="shared" si="0"/>
        <v>30.5</v>
      </c>
    </row>
    <row r="53" spans="7:16" ht="15.75" thickBot="1" x14ac:dyDescent="0.3">
      <c r="G53" s="34">
        <v>50</v>
      </c>
      <c r="H53" s="35">
        <v>50</v>
      </c>
      <c r="I53" s="36">
        <v>50</v>
      </c>
      <c r="N53" s="34">
        <v>49</v>
      </c>
      <c r="O53" s="43">
        <v>71</v>
      </c>
      <c r="P53" s="36">
        <f t="shared" si="0"/>
        <v>29</v>
      </c>
    </row>
    <row r="54" spans="7:16" ht="15.75" thickBot="1" x14ac:dyDescent="0.3">
      <c r="G54" s="34">
        <v>51</v>
      </c>
      <c r="H54" s="35">
        <v>51</v>
      </c>
      <c r="I54" s="36">
        <v>49</v>
      </c>
      <c r="N54" s="34">
        <v>50</v>
      </c>
      <c r="O54" s="43">
        <v>72.5</v>
      </c>
      <c r="P54" s="36">
        <f t="shared" si="0"/>
        <v>27.5</v>
      </c>
    </row>
    <row r="55" spans="7:16" ht="15.75" thickBot="1" x14ac:dyDescent="0.3">
      <c r="G55" s="34">
        <v>52</v>
      </c>
      <c r="H55" s="35">
        <v>52</v>
      </c>
      <c r="I55" s="36">
        <v>48</v>
      </c>
      <c r="N55" s="34">
        <v>51</v>
      </c>
      <c r="O55" s="43">
        <v>74</v>
      </c>
      <c r="P55" s="36">
        <f t="shared" si="0"/>
        <v>26</v>
      </c>
    </row>
    <row r="56" spans="7:16" ht="15.75" thickBot="1" x14ac:dyDescent="0.3">
      <c r="G56" s="34">
        <v>53</v>
      </c>
      <c r="H56" s="35">
        <v>53</v>
      </c>
      <c r="I56" s="36">
        <v>47</v>
      </c>
      <c r="N56" s="34">
        <v>52</v>
      </c>
      <c r="O56" s="43">
        <v>75.5</v>
      </c>
      <c r="P56" s="36">
        <f t="shared" si="0"/>
        <v>24.5</v>
      </c>
    </row>
    <row r="57" spans="7:16" ht="15.75" thickBot="1" x14ac:dyDescent="0.3">
      <c r="G57" s="34">
        <v>54</v>
      </c>
      <c r="H57" s="35">
        <v>54</v>
      </c>
      <c r="I57" s="36">
        <v>46</v>
      </c>
      <c r="N57" s="34">
        <v>53</v>
      </c>
      <c r="O57" s="43">
        <v>77</v>
      </c>
      <c r="P57" s="36">
        <f t="shared" si="0"/>
        <v>23</v>
      </c>
    </row>
    <row r="58" spans="7:16" ht="15.75" thickBot="1" x14ac:dyDescent="0.3">
      <c r="G58" s="34">
        <v>55</v>
      </c>
      <c r="H58" s="35">
        <v>55</v>
      </c>
      <c r="I58" s="36">
        <v>45</v>
      </c>
      <c r="N58" s="34">
        <v>54</v>
      </c>
      <c r="O58" s="43">
        <v>78.5</v>
      </c>
      <c r="P58" s="36">
        <f t="shared" si="0"/>
        <v>21.5</v>
      </c>
    </row>
    <row r="59" spans="7:16" ht="15.75" thickBot="1" x14ac:dyDescent="0.3">
      <c r="G59" s="34">
        <v>56</v>
      </c>
      <c r="H59" s="35">
        <v>56</v>
      </c>
      <c r="I59" s="36">
        <v>44</v>
      </c>
      <c r="N59" s="34">
        <v>55</v>
      </c>
      <c r="O59" s="43">
        <v>80</v>
      </c>
      <c r="P59" s="36">
        <f t="shared" si="0"/>
        <v>20</v>
      </c>
    </row>
    <row r="60" spans="7:16" ht="15.75" thickBot="1" x14ac:dyDescent="0.3">
      <c r="G60" s="34">
        <v>57</v>
      </c>
      <c r="H60" s="35">
        <v>57</v>
      </c>
      <c r="I60" s="36">
        <v>43</v>
      </c>
      <c r="N60" s="34">
        <v>56</v>
      </c>
      <c r="O60" s="43">
        <v>81.5</v>
      </c>
      <c r="P60" s="36">
        <f t="shared" si="0"/>
        <v>18.5</v>
      </c>
    </row>
    <row r="61" spans="7:16" ht="15.75" thickBot="1" x14ac:dyDescent="0.3">
      <c r="G61" s="34">
        <v>58</v>
      </c>
      <c r="H61" s="35">
        <v>58</v>
      </c>
      <c r="I61" s="36">
        <v>42</v>
      </c>
      <c r="N61" s="34">
        <v>57</v>
      </c>
      <c r="O61" s="43">
        <v>83</v>
      </c>
      <c r="P61" s="36">
        <f t="shared" si="0"/>
        <v>17</v>
      </c>
    </row>
    <row r="62" spans="7:16" ht="15.75" thickBot="1" x14ac:dyDescent="0.3">
      <c r="G62" s="34">
        <v>59</v>
      </c>
      <c r="H62" s="35">
        <v>59</v>
      </c>
      <c r="I62" s="36">
        <v>41</v>
      </c>
      <c r="N62" s="34">
        <v>58</v>
      </c>
      <c r="O62" s="43">
        <v>84.5</v>
      </c>
      <c r="P62" s="36">
        <f t="shared" si="0"/>
        <v>15.5</v>
      </c>
    </row>
    <row r="63" spans="7:16" ht="15.75" thickBot="1" x14ac:dyDescent="0.3">
      <c r="G63" s="34">
        <v>60</v>
      </c>
      <c r="H63" s="35">
        <v>60</v>
      </c>
      <c r="I63" s="36">
        <v>40</v>
      </c>
      <c r="N63" s="34">
        <v>59</v>
      </c>
      <c r="O63" s="43">
        <v>85</v>
      </c>
      <c r="P63" s="57">
        <f t="shared" si="0"/>
        <v>14</v>
      </c>
    </row>
    <row r="64" spans="7:16" ht="15.75" thickBot="1" x14ac:dyDescent="0.3">
      <c r="G64" s="34">
        <v>61</v>
      </c>
      <c r="H64" s="35">
        <v>61</v>
      </c>
      <c r="I64" s="36">
        <v>39</v>
      </c>
      <c r="N64" s="34">
        <v>60</v>
      </c>
    </row>
    <row r="65" spans="7:15" ht="15.75" thickBot="1" x14ac:dyDescent="0.3">
      <c r="G65" s="34">
        <v>62</v>
      </c>
      <c r="H65" s="35">
        <v>62</v>
      </c>
      <c r="I65" s="36">
        <v>38</v>
      </c>
      <c r="N65" s="34">
        <v>61</v>
      </c>
      <c r="O65" s="66"/>
    </row>
    <row r="66" spans="7:15" ht="15.75" thickBot="1" x14ac:dyDescent="0.3">
      <c r="G66" s="34">
        <v>63</v>
      </c>
      <c r="H66" s="35">
        <v>63</v>
      </c>
      <c r="I66" s="36">
        <v>37</v>
      </c>
      <c r="N66" s="34">
        <v>62</v>
      </c>
      <c r="O66" s="66"/>
    </row>
    <row r="67" spans="7:15" ht="15.75" thickBot="1" x14ac:dyDescent="0.3">
      <c r="G67" s="34">
        <v>64</v>
      </c>
      <c r="H67" s="35">
        <v>64</v>
      </c>
      <c r="I67" s="36">
        <v>36</v>
      </c>
      <c r="N67" s="34">
        <v>63</v>
      </c>
      <c r="O67" s="66"/>
    </row>
    <row r="68" spans="7:15" ht="15.75" thickBot="1" x14ac:dyDescent="0.3">
      <c r="G68" s="34">
        <v>65</v>
      </c>
      <c r="H68" s="35">
        <v>65</v>
      </c>
      <c r="I68" s="36">
        <v>35</v>
      </c>
      <c r="N68" s="34">
        <v>64</v>
      </c>
      <c r="O68" s="66"/>
    </row>
    <row r="69" spans="7:15" ht="15.75" thickBot="1" x14ac:dyDescent="0.3">
      <c r="G69" s="34">
        <v>66</v>
      </c>
      <c r="H69" s="35">
        <v>66</v>
      </c>
      <c r="I69" s="36">
        <v>34</v>
      </c>
      <c r="N69" s="34">
        <v>65</v>
      </c>
      <c r="O69" s="66"/>
    </row>
    <row r="70" spans="7:15" ht="15.75" thickBot="1" x14ac:dyDescent="0.3">
      <c r="G70" s="34">
        <v>67</v>
      </c>
      <c r="H70" s="35">
        <v>67</v>
      </c>
      <c r="I70" s="36">
        <v>33</v>
      </c>
      <c r="N70" s="34">
        <v>66</v>
      </c>
      <c r="O70" s="66"/>
    </row>
    <row r="71" spans="7:15" ht="15.75" thickBot="1" x14ac:dyDescent="0.3">
      <c r="G71" s="34">
        <v>68</v>
      </c>
      <c r="H71" s="35">
        <v>68</v>
      </c>
      <c r="I71" s="36">
        <v>32</v>
      </c>
      <c r="N71" s="34">
        <v>67</v>
      </c>
      <c r="O71" s="66"/>
    </row>
    <row r="72" spans="7:15" ht="15.75" thickBot="1" x14ac:dyDescent="0.3">
      <c r="G72" s="34">
        <v>69</v>
      </c>
      <c r="H72" s="35">
        <v>69</v>
      </c>
      <c r="I72" s="36">
        <v>31</v>
      </c>
      <c r="N72" s="34">
        <v>68</v>
      </c>
      <c r="O72" s="66"/>
    </row>
    <row r="73" spans="7:15" ht="15.75" thickBot="1" x14ac:dyDescent="0.3">
      <c r="G73" s="34">
        <v>70</v>
      </c>
      <c r="H73" s="35">
        <v>70</v>
      </c>
      <c r="I73" s="57">
        <v>30</v>
      </c>
      <c r="N73" s="34">
        <v>69</v>
      </c>
      <c r="O73" s="66"/>
    </row>
    <row r="74" spans="7:15" ht="15.75" thickBot="1" x14ac:dyDescent="0.3">
      <c r="I74" s="68"/>
      <c r="N74" s="34">
        <v>70</v>
      </c>
      <c r="O74" s="66"/>
    </row>
    <row r="75" spans="7:15" ht="15.75" thickBot="1" x14ac:dyDescent="0.3">
      <c r="N75" s="34"/>
      <c r="O75" s="66"/>
    </row>
  </sheetData>
  <mergeCells count="3">
    <mergeCell ref="B2:F2"/>
    <mergeCell ref="G2:H2"/>
    <mergeCell ref="B17:F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23CC-99E1-4C90-AC77-4BDCE7B78C2E}">
  <dimension ref="A1:H88"/>
  <sheetViews>
    <sheetView workbookViewId="0">
      <selection activeCell="J21" sqref="J21"/>
    </sheetView>
  </sheetViews>
  <sheetFormatPr defaultColWidth="14.140625" defaultRowHeight="15" x14ac:dyDescent="0.25"/>
  <cols>
    <col min="1" max="1" width="33.28515625" bestFit="1" customWidth="1"/>
    <col min="2" max="2" width="14.28515625" style="20" bestFit="1" customWidth="1"/>
    <col min="3" max="3" width="11" style="20" bestFit="1" customWidth="1"/>
    <col min="4" max="4" width="10.28515625" customWidth="1"/>
    <col min="5" max="5" width="33.28515625" bestFit="1" customWidth="1"/>
    <col min="6" max="6" width="14.28515625" bestFit="1" customWidth="1"/>
    <col min="7" max="7" width="11" bestFit="1" customWidth="1"/>
    <col min="8" max="8" width="15.28515625" bestFit="1" customWidth="1"/>
  </cols>
  <sheetData>
    <row r="1" spans="1:7" x14ac:dyDescent="0.25">
      <c r="A1" s="2"/>
      <c r="B1" s="3"/>
      <c r="C1" s="4"/>
    </row>
    <row r="2" spans="1:7" x14ac:dyDescent="0.25">
      <c r="A2" s="69" t="s">
        <v>56</v>
      </c>
      <c r="B2" s="70"/>
      <c r="C2" s="6"/>
      <c r="E2" s="69" t="s">
        <v>57</v>
      </c>
      <c r="F2" s="70"/>
      <c r="G2" s="6"/>
    </row>
    <row r="3" spans="1:7" x14ac:dyDescent="0.25">
      <c r="A3" s="7" t="s">
        <v>1</v>
      </c>
      <c r="B3" s="8">
        <v>26000</v>
      </c>
      <c r="C3" s="9" t="s">
        <v>2</v>
      </c>
      <c r="E3" s="7" t="s">
        <v>1</v>
      </c>
      <c r="F3" s="8">
        <v>26000</v>
      </c>
      <c r="G3" s="9" t="s">
        <v>2</v>
      </c>
    </row>
    <row r="4" spans="1:7" x14ac:dyDescent="0.25">
      <c r="A4" s="10" t="s">
        <v>3</v>
      </c>
      <c r="B4" s="8">
        <v>3000</v>
      </c>
      <c r="C4"/>
      <c r="E4" s="10" t="s">
        <v>3</v>
      </c>
      <c r="F4" s="8">
        <v>3000</v>
      </c>
    </row>
    <row r="5" spans="1:7" x14ac:dyDescent="0.25">
      <c r="A5" s="7" t="s">
        <v>4</v>
      </c>
      <c r="B5" s="8">
        <f>B3-B4</f>
        <v>23000</v>
      </c>
      <c r="C5"/>
      <c r="E5" s="7" t="s">
        <v>4</v>
      </c>
      <c r="F5" s="8">
        <f>F3-F4</f>
        <v>23000</v>
      </c>
    </row>
    <row r="6" spans="1:7" x14ac:dyDescent="0.25">
      <c r="A6" s="7" t="s">
        <v>5</v>
      </c>
      <c r="B6" s="8">
        <f>B4</f>
        <v>3000</v>
      </c>
      <c r="C6"/>
      <c r="E6" s="7" t="s">
        <v>5</v>
      </c>
      <c r="F6" s="8">
        <f>F4</f>
        <v>3000</v>
      </c>
    </row>
    <row r="7" spans="1:7" x14ac:dyDescent="0.25">
      <c r="A7" s="7" t="s">
        <v>6</v>
      </c>
      <c r="B7" s="11">
        <v>8</v>
      </c>
      <c r="C7">
        <f>2024-2016</f>
        <v>8</v>
      </c>
      <c r="E7" s="7" t="s">
        <v>6</v>
      </c>
      <c r="F7" s="11">
        <v>8</v>
      </c>
    </row>
    <row r="8" spans="1:7" x14ac:dyDescent="0.25">
      <c r="A8" s="7" t="s">
        <v>7</v>
      </c>
      <c r="B8" s="11">
        <f>B9-B7</f>
        <v>52</v>
      </c>
      <c r="C8"/>
      <c r="E8" s="7" t="s">
        <v>7</v>
      </c>
      <c r="F8" s="11">
        <f>F9-F7</f>
        <v>52</v>
      </c>
    </row>
    <row r="9" spans="1:7" x14ac:dyDescent="0.25">
      <c r="A9" s="7" t="s">
        <v>8</v>
      </c>
      <c r="B9" s="11">
        <v>60</v>
      </c>
      <c r="C9"/>
      <c r="E9" s="7" t="s">
        <v>8</v>
      </c>
      <c r="F9" s="11">
        <v>60</v>
      </c>
    </row>
    <row r="10" spans="1:7" ht="45" customHeight="1" x14ac:dyDescent="0.25">
      <c r="A10" s="10" t="s">
        <v>9</v>
      </c>
      <c r="B10" s="11">
        <f>90*B7/B9</f>
        <v>12</v>
      </c>
      <c r="C10"/>
      <c r="E10" s="10" t="s">
        <v>9</v>
      </c>
      <c r="F10" s="11">
        <f>90*F7/F9</f>
        <v>12</v>
      </c>
    </row>
    <row r="11" spans="1:7" x14ac:dyDescent="0.25">
      <c r="A11" s="7"/>
      <c r="B11" s="12">
        <f>B10%</f>
        <v>0.12</v>
      </c>
      <c r="C11"/>
      <c r="E11" s="7"/>
      <c r="F11" s="12">
        <f>F10%</f>
        <v>0.12</v>
      </c>
    </row>
    <row r="12" spans="1:7" x14ac:dyDescent="0.25">
      <c r="A12" s="7" t="s">
        <v>10</v>
      </c>
      <c r="B12" s="8">
        <f>B6*B11</f>
        <v>360</v>
      </c>
      <c r="C12"/>
      <c r="E12" s="7" t="s">
        <v>10</v>
      </c>
      <c r="F12" s="8">
        <f>F6*F11</f>
        <v>360</v>
      </c>
    </row>
    <row r="13" spans="1:7" x14ac:dyDescent="0.25">
      <c r="A13" s="7" t="s">
        <v>11</v>
      </c>
      <c r="B13" s="8">
        <f>B6-B12</f>
        <v>2640</v>
      </c>
      <c r="C13"/>
      <c r="E13" s="7" t="s">
        <v>11</v>
      </c>
      <c r="F13" s="8">
        <f>F6-F12</f>
        <v>2640</v>
      </c>
    </row>
    <row r="14" spans="1:7" x14ac:dyDescent="0.25">
      <c r="A14" s="7" t="s">
        <v>4</v>
      </c>
      <c r="B14" s="8">
        <f>B5</f>
        <v>23000</v>
      </c>
      <c r="C14"/>
      <c r="E14" s="7" t="s">
        <v>4</v>
      </c>
      <c r="F14" s="8">
        <f>F5</f>
        <v>23000</v>
      </c>
    </row>
    <row r="15" spans="1:7" x14ac:dyDescent="0.25">
      <c r="B15" s="8"/>
      <c r="C15"/>
      <c r="F15" s="8"/>
    </row>
    <row r="16" spans="1:7" x14ac:dyDescent="0.25">
      <c r="A16" s="13" t="s">
        <v>12</v>
      </c>
      <c r="B16" s="9">
        <f>ROUND(B14+B13,0)</f>
        <v>25640</v>
      </c>
      <c r="C16"/>
      <c r="E16" s="13" t="s">
        <v>12</v>
      </c>
      <c r="F16" s="9">
        <f>ROUND(F14+F13,0)</f>
        <v>25640</v>
      </c>
    </row>
    <row r="17" spans="1:8" x14ac:dyDescent="0.25">
      <c r="B17" s="11" t="s">
        <v>13</v>
      </c>
      <c r="C17"/>
      <c r="F17" s="11" t="s">
        <v>13</v>
      </c>
    </row>
    <row r="18" spans="1:8" x14ac:dyDescent="0.25">
      <c r="A18" s="13" t="s">
        <v>50</v>
      </c>
      <c r="B18" s="14">
        <v>3668</v>
      </c>
      <c r="C18"/>
      <c r="E18" s="13" t="s">
        <v>50</v>
      </c>
      <c r="F18" s="14">
        <v>3668</v>
      </c>
    </row>
    <row r="19" spans="1:8" x14ac:dyDescent="0.25">
      <c r="A19" s="13" t="s">
        <v>51</v>
      </c>
      <c r="B19" s="14">
        <f>ROUND(B18*1.1,0)</f>
        <v>4035</v>
      </c>
      <c r="C19"/>
      <c r="E19" s="13" t="s">
        <v>51</v>
      </c>
      <c r="F19" s="14">
        <f>ROUND(F18*1.2,0)</f>
        <v>4402</v>
      </c>
    </row>
    <row r="20" spans="1:8" x14ac:dyDescent="0.25">
      <c r="A20" s="13" t="s">
        <v>14</v>
      </c>
      <c r="B20" s="14">
        <f>B18*B16</f>
        <v>94047520</v>
      </c>
      <c r="C20"/>
      <c r="E20" s="13" t="s">
        <v>14</v>
      </c>
      <c r="F20" s="14">
        <f>F18*F16</f>
        <v>94047520</v>
      </c>
    </row>
    <row r="21" spans="1:8" x14ac:dyDescent="0.25">
      <c r="A21" s="7" t="s">
        <v>14</v>
      </c>
      <c r="B21" s="15">
        <f>B20</f>
        <v>94047520</v>
      </c>
      <c r="C21" s="1">
        <f>B21/B19</f>
        <v>23307.935563816605</v>
      </c>
      <c r="E21" s="7" t="s">
        <v>14</v>
      </c>
      <c r="F21" s="15">
        <f>F20</f>
        <v>94047520</v>
      </c>
      <c r="G21" s="1"/>
    </row>
    <row r="22" spans="1:8" x14ac:dyDescent="0.25">
      <c r="A22" s="7" t="s">
        <v>47</v>
      </c>
      <c r="B22" s="15">
        <f>SUM(B21:B21)</f>
        <v>94047520</v>
      </c>
      <c r="C22" s="16"/>
      <c r="E22" s="7" t="s">
        <v>47</v>
      </c>
      <c r="F22" s="15">
        <f>SUM(F21:F21)</f>
        <v>94047520</v>
      </c>
      <c r="G22" s="16"/>
      <c r="H22" s="56">
        <f>B22+F22</f>
        <v>188095040</v>
      </c>
    </row>
    <row r="23" spans="1:8" x14ac:dyDescent="0.25">
      <c r="A23" s="7" t="s">
        <v>48</v>
      </c>
      <c r="B23" s="15">
        <f>ROUND(B22*0.9,0)</f>
        <v>84642768</v>
      </c>
      <c r="C23" s="16"/>
      <c r="E23" s="7" t="s">
        <v>48</v>
      </c>
      <c r="F23" s="15">
        <f>ROUND(F22*0.9,0)</f>
        <v>84642768</v>
      </c>
      <c r="G23" s="16"/>
      <c r="H23" s="56">
        <f>B23+F23</f>
        <v>169285536</v>
      </c>
    </row>
    <row r="24" spans="1:8" x14ac:dyDescent="0.25">
      <c r="A24" s="7" t="s">
        <v>49</v>
      </c>
      <c r="B24" s="15">
        <f>ROUND(B22*0.8,0)</f>
        <v>75238016</v>
      </c>
      <c r="C24" s="16"/>
      <c r="E24" s="7" t="s">
        <v>49</v>
      </c>
      <c r="F24" s="15">
        <f>ROUND(F22*0.8,0)</f>
        <v>75238016</v>
      </c>
      <c r="G24" s="16"/>
      <c r="H24" s="56">
        <f>B24+F24</f>
        <v>150476032</v>
      </c>
    </row>
    <row r="25" spans="1:8" x14ac:dyDescent="0.25">
      <c r="A25" s="7" t="s">
        <v>52</v>
      </c>
      <c r="B25" s="15">
        <f>'Depreciation (2)'!E10</f>
        <v>11470</v>
      </c>
      <c r="C25" s="16"/>
      <c r="E25" s="7" t="s">
        <v>52</v>
      </c>
      <c r="F25" s="15">
        <f>'Depreciation (2)'!E25</f>
        <v>11650</v>
      </c>
      <c r="G25" s="16"/>
    </row>
    <row r="26" spans="1:8" x14ac:dyDescent="0.25">
      <c r="A26" s="7" t="s">
        <v>15</v>
      </c>
      <c r="B26" s="17">
        <f>B25*B19</f>
        <v>46281450</v>
      </c>
      <c r="C26"/>
      <c r="E26" s="7" t="s">
        <v>15</v>
      </c>
      <c r="F26" s="17">
        <f>F25*F19</f>
        <v>51283300</v>
      </c>
    </row>
    <row r="27" spans="1:8" x14ac:dyDescent="0.25">
      <c r="A27" s="18" t="s">
        <v>16</v>
      </c>
      <c r="B27" s="19">
        <f>B19*B4</f>
        <v>12105000</v>
      </c>
      <c r="C27"/>
      <c r="E27" s="18" t="s">
        <v>16</v>
      </c>
      <c r="F27" s="19">
        <f>F19*F4</f>
        <v>13206000</v>
      </c>
    </row>
    <row r="28" spans="1:8" x14ac:dyDescent="0.25">
      <c r="A28" s="7" t="s">
        <v>17</v>
      </c>
      <c r="C28"/>
      <c r="E28" s="7" t="s">
        <v>17</v>
      </c>
      <c r="F28" s="20"/>
    </row>
    <row r="29" spans="1:8" x14ac:dyDescent="0.25">
      <c r="A29" s="21" t="s">
        <v>18</v>
      </c>
      <c r="B29" s="17">
        <f>ROUND(B21*0.025/12,0)</f>
        <v>195932</v>
      </c>
      <c r="C29"/>
      <c r="E29" s="21" t="s">
        <v>18</v>
      </c>
      <c r="F29" s="17">
        <f>ROUND(F21*0.025/12,0)</f>
        <v>195932</v>
      </c>
    </row>
    <row r="30" spans="1:8" x14ac:dyDescent="0.25">
      <c r="B30" s="17"/>
      <c r="C30"/>
    </row>
    <row r="31" spans="1:8" x14ac:dyDescent="0.25">
      <c r="B31" s="15"/>
      <c r="C31"/>
    </row>
    <row r="32" spans="1:8" x14ac:dyDescent="0.25">
      <c r="B32"/>
      <c r="C32"/>
    </row>
    <row r="33" spans="2:3" x14ac:dyDescent="0.25">
      <c r="B33">
        <v>340.76</v>
      </c>
      <c r="C33">
        <f>B33*10.764</f>
        <v>3667.9406399999998</v>
      </c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50" spans="1:8" s="20" customFormat="1" x14ac:dyDescent="0.25">
      <c r="A50" s="22"/>
      <c r="D50"/>
      <c r="E50"/>
      <c r="F50"/>
      <c r="G50"/>
      <c r="H50"/>
    </row>
    <row r="63" spans="1:8" s="20" customFormat="1" ht="15.75" x14ac:dyDescent="0.25">
      <c r="A63" s="23"/>
      <c r="D63"/>
      <c r="E63"/>
      <c r="F63"/>
      <c r="G63"/>
      <c r="H63"/>
    </row>
    <row r="64" spans="1:8" s="20" customFormat="1" ht="15.75" x14ac:dyDescent="0.25">
      <c r="A64" s="23"/>
      <c r="D64"/>
      <c r="E64"/>
      <c r="F64"/>
      <c r="G64"/>
      <c r="H64"/>
    </row>
    <row r="65" spans="1:8" s="20" customFormat="1" ht="15.75" x14ac:dyDescent="0.25">
      <c r="A65" s="23"/>
      <c r="D65"/>
      <c r="E65"/>
      <c r="F65"/>
      <c r="G65"/>
      <c r="H65"/>
    </row>
    <row r="66" spans="1:8" s="20" customFormat="1" ht="15.75" x14ac:dyDescent="0.25">
      <c r="A66" s="23"/>
      <c r="D66"/>
      <c r="E66"/>
      <c r="F66"/>
      <c r="G66"/>
      <c r="H66"/>
    </row>
    <row r="67" spans="1:8" s="20" customFormat="1" ht="15.75" x14ac:dyDescent="0.25">
      <c r="A67" s="23"/>
      <c r="D67"/>
      <c r="E67"/>
      <c r="F67"/>
      <c r="G67"/>
      <c r="H67"/>
    </row>
    <row r="68" spans="1:8" s="20" customFormat="1" ht="15.75" x14ac:dyDescent="0.25">
      <c r="A68" s="23"/>
      <c r="D68"/>
      <c r="E68"/>
      <c r="F68"/>
      <c r="G68"/>
      <c r="H68"/>
    </row>
    <row r="69" spans="1:8" s="20" customFormat="1" ht="15.75" x14ac:dyDescent="0.25">
      <c r="A69" s="23"/>
      <c r="D69"/>
      <c r="E69"/>
      <c r="F69"/>
      <c r="G69"/>
      <c r="H69"/>
    </row>
    <row r="88" spans="1:8" s="20" customFormat="1" x14ac:dyDescent="0.25">
      <c r="A88"/>
      <c r="B88" s="20">
        <f>B87*B86</f>
        <v>0</v>
      </c>
      <c r="D88"/>
      <c r="E88"/>
      <c r="F88"/>
      <c r="G88"/>
      <c r="H88"/>
    </row>
  </sheetData>
  <mergeCells count="2">
    <mergeCell ref="A2:B2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of Flats</vt:lpstr>
      <vt:lpstr>Depreciation (2)</vt:lpstr>
      <vt:lpstr>Calculation of Flats (Yogesh v)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DESK-108</cp:lastModifiedBy>
  <cp:lastPrinted>2024-06-13T10:01:43Z</cp:lastPrinted>
  <dcterms:created xsi:type="dcterms:W3CDTF">2024-06-12T06:01:15Z</dcterms:created>
  <dcterms:modified xsi:type="dcterms:W3CDTF">2024-09-02T05:57:17Z</dcterms:modified>
</cp:coreProperties>
</file>