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201912161304_-_ELP_CONSULTANT\"/>
    </mc:Choice>
  </mc:AlternateContent>
  <xr:revisionPtr revIDLastSave="0" documentId="13_ncr:1_{4660922F-EBD5-4708-8D47-B64CFA1DD878}" xr6:coauthVersionLast="47" xr6:coauthVersionMax="47" xr10:uidLastSave="{00000000-0000-0000-0000-000000000000}"/>
  <bookViews>
    <workbookView xWindow="45" yWindow="60" windowWidth="14025" windowHeight="15465" tabRatio="932" activeTab="2" xr2:uid="{00000000-000D-0000-FFFF-FFFF00000000}"/>
  </bookViews>
  <sheets>
    <sheet name="Calculation VCIPL" sheetId="23" r:id="rId1"/>
    <sheet name="Rent Calculation" sheetId="37" r:id="rId2"/>
    <sheet name="IGR" sheetId="39" r:id="rId3"/>
    <sheet name="Depreciation (2)" sheetId="27" r:id="rId4"/>
    <sheet name="RR" sheetId="38" r:id="rId5"/>
    <sheet name="Sheet4" sheetId="40" r:id="rId6"/>
    <sheet name="Sheet1" sheetId="41" r:id="rId7"/>
  </sheets>
  <calcPr calcId="191029"/>
</workbook>
</file>

<file path=xl/calcChain.xml><?xml version="1.0" encoding="utf-8"?>
<calcChain xmlns="http://schemas.openxmlformats.org/spreadsheetml/2006/main">
  <c r="E7" i="41" l="1"/>
  <c r="D3" i="41"/>
  <c r="H2" i="41"/>
  <c r="B16" i="23"/>
  <c r="D9" i="37"/>
  <c r="C10" i="37"/>
  <c r="B10" i="37"/>
  <c r="C9" i="37"/>
  <c r="B9" i="37"/>
  <c r="D7" i="37"/>
  <c r="D8" i="37"/>
  <c r="D6" i="37"/>
  <c r="C5" i="27"/>
  <c r="C36" i="27"/>
  <c r="C37" i="27" s="1"/>
  <c r="D30" i="27"/>
  <c r="C27" i="27"/>
  <c r="C25" i="27"/>
  <c r="E18" i="27"/>
  <c r="E17" i="27"/>
  <c r="E15" i="27"/>
  <c r="E14" i="27"/>
  <c r="C6" i="27"/>
  <c r="C8" i="27" s="1"/>
  <c r="C4" i="27"/>
  <c r="C18" i="23"/>
  <c r="B24" i="23"/>
  <c r="C15" i="27"/>
  <c r="C16" i="27" s="1"/>
  <c r="P11" i="27"/>
  <c r="P12" i="27" s="1"/>
  <c r="P13" i="27" s="1"/>
  <c r="P14" i="27" s="1"/>
  <c r="P15" i="27" s="1"/>
  <c r="P16" i="27" s="1"/>
  <c r="P17" i="27" s="1"/>
  <c r="P18" i="27" s="1"/>
  <c r="P19" i="27" s="1"/>
  <c r="P20" i="27" s="1"/>
  <c r="P21" i="27" s="1"/>
  <c r="P22" i="27" s="1"/>
  <c r="P23" i="27" s="1"/>
  <c r="P24" i="27" s="1"/>
  <c r="P25" i="27" s="1"/>
  <c r="P26" i="27" s="1"/>
  <c r="P27" i="27" s="1"/>
  <c r="P28" i="27" s="1"/>
  <c r="P29" i="27" s="1"/>
  <c r="P30" i="27" s="1"/>
  <c r="P31" i="27" s="1"/>
  <c r="P32" i="27" s="1"/>
  <c r="P33" i="27" s="1"/>
  <c r="P34" i="27" s="1"/>
  <c r="P35" i="27" s="1"/>
  <c r="P36" i="27" s="1"/>
  <c r="P37" i="27" s="1"/>
  <c r="P38" i="27" s="1"/>
  <c r="P39" i="27" s="1"/>
  <c r="P40" i="27" s="1"/>
  <c r="P41" i="27" s="1"/>
  <c r="P42" i="27" s="1"/>
  <c r="P43" i="27" s="1"/>
  <c r="P44" i="27" s="1"/>
  <c r="P45" i="27" s="1"/>
  <c r="P46" i="27" s="1"/>
  <c r="P47" i="27" s="1"/>
  <c r="P48" i="27" s="1"/>
  <c r="P49" i="27" s="1"/>
  <c r="P50" i="27" s="1"/>
  <c r="P51" i="27" s="1"/>
  <c r="P52" i="27" s="1"/>
  <c r="P53" i="27" s="1"/>
  <c r="P54" i="27" s="1"/>
  <c r="P55" i="27" s="1"/>
  <c r="P56" i="27" s="1"/>
  <c r="P57" i="27" s="1"/>
  <c r="P58" i="27" s="1"/>
  <c r="P59" i="27" s="1"/>
  <c r="P60" i="27" s="1"/>
  <c r="P61" i="27" s="1"/>
  <c r="P62" i="27" s="1"/>
  <c r="P63" i="27" s="1"/>
  <c r="P64" i="27" s="1"/>
  <c r="D9" i="27"/>
  <c r="D10" i="37" l="1"/>
  <c r="C11" i="37"/>
  <c r="C12" i="37" s="1"/>
  <c r="C14" i="37" s="1"/>
  <c r="C16" i="37" s="1"/>
  <c r="B11" i="37"/>
  <c r="C29" i="27"/>
  <c r="C31" i="27" s="1"/>
  <c r="C32" i="27" s="1"/>
  <c r="E32" i="27" s="1"/>
  <c r="E35" i="27" s="1"/>
  <c r="E27" i="27"/>
  <c r="E6" i="27"/>
  <c r="D11" i="37" l="1"/>
  <c r="C17" i="37"/>
  <c r="C15" i="37"/>
  <c r="B12" i="37"/>
  <c r="E36" i="27"/>
  <c r="E38" i="27" s="1"/>
  <c r="E39" i="27" s="1"/>
  <c r="C10" i="27"/>
  <c r="C11" i="27" s="1"/>
  <c r="E11" i="27" s="1"/>
  <c r="B23" i="23" s="1"/>
  <c r="D12" i="37" l="1"/>
  <c r="B14" i="37"/>
  <c r="B84" i="23"/>
  <c r="B8" i="23"/>
  <c r="B6" i="23"/>
  <c r="B5" i="23"/>
  <c r="B14" i="23" s="1"/>
  <c r="B15" i="37" l="1"/>
  <c r="D15" i="37" s="1"/>
  <c r="D14" i="37"/>
  <c r="D17" i="37" s="1"/>
  <c r="B16" i="37"/>
  <c r="D16" i="37" s="1"/>
  <c r="B17" i="37"/>
  <c r="B10" i="23"/>
  <c r="B11" i="23" s="1"/>
  <c r="B12" i="23" s="1"/>
  <c r="B13" i="23" s="1"/>
  <c r="B19" i="23" l="1"/>
  <c r="B20" i="23" s="1"/>
  <c r="B25" i="23" s="1"/>
  <c r="C16" i="23"/>
  <c r="B21" i="23" l="1"/>
  <c r="B22" i="23"/>
</calcChain>
</file>

<file path=xl/sharedStrings.xml><?xml version="1.0" encoding="utf-8"?>
<sst xmlns="http://schemas.openxmlformats.org/spreadsheetml/2006/main" count="114" uniqueCount="87">
  <si>
    <t>Floor</t>
  </si>
  <si>
    <t>Depreciation (100-10)X15/60</t>
  </si>
  <si>
    <t>Mumbai</t>
  </si>
  <si>
    <t>Thane</t>
  </si>
  <si>
    <t>%</t>
  </si>
  <si>
    <t>5-10</t>
  </si>
  <si>
    <t>g+4</t>
  </si>
  <si>
    <t>no incre</t>
  </si>
  <si>
    <t>11-20</t>
  </si>
  <si>
    <t>21-30</t>
  </si>
  <si>
    <t>31 and above</t>
  </si>
  <si>
    <t>Sq. Mtr.</t>
  </si>
  <si>
    <t>Sq. Ft.</t>
  </si>
  <si>
    <t>Year</t>
  </si>
  <si>
    <t>Year of Construction</t>
  </si>
  <si>
    <t>Age of the Building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</si>
  <si>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</si>
  <si>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</si>
  <si>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</si>
  <si>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</si>
  <si>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</si>
  <si>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</si>
  <si>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</si>
  <si>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</si>
  <si>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</si>
  <si>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</si>
  <si>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</si>
  <si>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</si>
  <si>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Sr. No.</t>
  </si>
  <si>
    <t>Dated</t>
  </si>
  <si>
    <t>Increased 5% for Higher floor (5th -10th Floor)</t>
  </si>
  <si>
    <t>Commercial</t>
  </si>
  <si>
    <t>rate on BUA</t>
  </si>
  <si>
    <t>Rebate on RR Rates more than (900 Sq. M. to 2300 Sq. M.)</t>
  </si>
  <si>
    <t>Office on 9th Floor</t>
  </si>
  <si>
    <t>Sr.</t>
  </si>
  <si>
    <t>Carpet Area in Sq. Ft.</t>
  </si>
  <si>
    <t>% for Capitalization</t>
  </si>
  <si>
    <t>L &amp; L Agreement Date</t>
  </si>
  <si>
    <t>31.05.2023</t>
  </si>
  <si>
    <t>30.05.2023</t>
  </si>
  <si>
    <t>`</t>
  </si>
  <si>
    <t>TOTAL</t>
  </si>
  <si>
    <t>Built UP Area in Sq. Ft.</t>
  </si>
  <si>
    <r>
      <t xml:space="preserve">Office Value in </t>
    </r>
    <r>
      <rPr>
        <sz val="11"/>
        <color theme="1"/>
        <rFont val="Rupee Foradian"/>
        <family val="2"/>
      </rPr>
      <t>`</t>
    </r>
  </si>
  <si>
    <r>
      <t xml:space="preserve">Market Value in </t>
    </r>
    <r>
      <rPr>
        <sz val="11"/>
        <color theme="1"/>
        <rFont val="Rupee Foradian"/>
        <family val="2"/>
      </rPr>
      <t>`</t>
    </r>
  </si>
  <si>
    <r>
      <t xml:space="preserve">Realizable Value in </t>
    </r>
    <r>
      <rPr>
        <sz val="11"/>
        <rFont val="Rupee Foradian"/>
        <family val="2"/>
      </rPr>
      <t>`</t>
    </r>
  </si>
  <si>
    <r>
      <t xml:space="preserve">Distress Value in </t>
    </r>
    <r>
      <rPr>
        <sz val="11"/>
        <rFont val="Rupee Foradian"/>
        <family val="2"/>
      </rPr>
      <t>`</t>
    </r>
  </si>
  <si>
    <r>
      <t xml:space="preserve">Govt. Value in </t>
    </r>
    <r>
      <rPr>
        <sz val="11"/>
        <color theme="1"/>
        <rFont val="Rupee Foradian"/>
        <family val="2"/>
      </rPr>
      <t>`</t>
    </r>
  </si>
  <si>
    <r>
      <t xml:space="preserve">Insurable Value in </t>
    </r>
    <r>
      <rPr>
        <sz val="11"/>
        <color theme="1"/>
        <rFont val="Rupee Foradian"/>
        <family val="2"/>
      </rPr>
      <t>`</t>
    </r>
  </si>
  <si>
    <r>
      <t xml:space="preserve">Rental Value in </t>
    </r>
    <r>
      <rPr>
        <sz val="11"/>
        <rFont val="Rupee Foradian"/>
        <family val="2"/>
      </rPr>
      <t>`</t>
    </r>
  </si>
  <si>
    <r>
      <t xml:space="preserve">Depreciated Bldg. Rate in </t>
    </r>
    <r>
      <rPr>
        <sz val="11"/>
        <color theme="1"/>
        <rFont val="Rupee Foradian"/>
        <family val="2"/>
      </rPr>
      <t>`</t>
    </r>
  </si>
  <si>
    <r>
      <t xml:space="preserve">Total Composite Rate in </t>
    </r>
    <r>
      <rPr>
        <sz val="11"/>
        <color theme="1"/>
        <rFont val="Rupee Foradian"/>
        <family val="2"/>
      </rPr>
      <t>`</t>
    </r>
  </si>
  <si>
    <r>
      <t xml:space="preserve">Depreciation Amt in </t>
    </r>
    <r>
      <rPr>
        <sz val="11"/>
        <color theme="1"/>
        <rFont val="Rupee Foradian"/>
        <family val="2"/>
      </rPr>
      <t>`</t>
    </r>
  </si>
  <si>
    <t>Total Life in Years</t>
  </si>
  <si>
    <t>Estimated Life in Years</t>
  </si>
  <si>
    <t>Age of the bldg. in Years</t>
  </si>
  <si>
    <r>
      <t xml:space="preserve">Replacement Cost in </t>
    </r>
    <r>
      <rPr>
        <sz val="11"/>
        <color theme="1"/>
        <rFont val="Rupee Foradian"/>
        <family val="2"/>
      </rPr>
      <t>`</t>
    </r>
  </si>
  <si>
    <r>
      <t xml:space="preserve">Land + Others Cost in </t>
    </r>
    <r>
      <rPr>
        <sz val="11"/>
        <color theme="1"/>
        <rFont val="Rupee Foradian"/>
        <family val="2"/>
      </rPr>
      <t>`</t>
    </r>
  </si>
  <si>
    <r>
      <t xml:space="preserve">Bldg.+Service (Cost of Construction) in </t>
    </r>
    <r>
      <rPr>
        <sz val="11"/>
        <color theme="1"/>
        <rFont val="Rupee Foradian"/>
        <family val="2"/>
      </rPr>
      <t>`</t>
    </r>
  </si>
  <si>
    <r>
      <t xml:space="preserve">New Construction Rate in </t>
    </r>
    <r>
      <rPr>
        <sz val="11"/>
        <color theme="1"/>
        <rFont val="Rupee Foradian"/>
        <family val="2"/>
      </rPr>
      <t>`</t>
    </r>
  </si>
  <si>
    <r>
      <t xml:space="preserve">Market Value in </t>
    </r>
    <r>
      <rPr>
        <b/>
        <sz val="11"/>
        <color theme="1"/>
        <rFont val="Rupee Foradian"/>
        <family val="2"/>
      </rPr>
      <t>`</t>
    </r>
  </si>
  <si>
    <r>
      <t xml:space="preserve">Realizable Value in </t>
    </r>
    <r>
      <rPr>
        <b/>
        <sz val="11"/>
        <color theme="1"/>
        <rFont val="Rupee Foradian"/>
        <family val="2"/>
      </rPr>
      <t>`</t>
    </r>
  </si>
  <si>
    <r>
      <t xml:space="preserve">Distress Value in </t>
    </r>
    <r>
      <rPr>
        <b/>
        <sz val="11"/>
        <color theme="1"/>
        <rFont val="Rupee Foradian"/>
        <family val="2"/>
      </rPr>
      <t>`</t>
    </r>
  </si>
  <si>
    <t>Commencement Date</t>
  </si>
  <si>
    <t>01.09.2022</t>
  </si>
  <si>
    <t>Expiring Date</t>
  </si>
  <si>
    <t>31.08.2027</t>
  </si>
  <si>
    <t>Period in months</t>
  </si>
  <si>
    <r>
      <t xml:space="preserve">Security Deposit in </t>
    </r>
    <r>
      <rPr>
        <b/>
        <sz val="11"/>
        <color theme="1"/>
        <rFont val="Rupee Foradian"/>
        <family val="2"/>
      </rPr>
      <t>`</t>
    </r>
  </si>
  <si>
    <r>
      <t xml:space="preserve">Rent per Month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 (A)</t>
    </r>
  </si>
  <si>
    <t>Interest on Security Deposit @7% (B)</t>
  </si>
  <si>
    <t>Outgoings for Property Tax, Maintenance, etc. @20% (D)</t>
  </si>
  <si>
    <r>
      <t xml:space="preserve">Gross Rent per Year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(C) ((A*12) + B)</t>
    </r>
  </si>
  <si>
    <t>Net Annual Rent (C - D)</t>
  </si>
  <si>
    <t>Document Name</t>
  </si>
  <si>
    <t>Built Up Area in Sq. Ft.</t>
  </si>
  <si>
    <t>Saleable area in Sq. Ft.</t>
  </si>
  <si>
    <t>Purchase Cost</t>
  </si>
  <si>
    <t>Indenture Agreement</t>
  </si>
  <si>
    <t>11.01.1999</t>
  </si>
  <si>
    <t xml:space="preserve">Property Tax </t>
  </si>
  <si>
    <t>31.01.2024</t>
  </si>
  <si>
    <t>Leave &amp; Licence (ELP Consultants India PVt. Ltd.</t>
  </si>
  <si>
    <t>12.12.2019</t>
  </si>
  <si>
    <t>L &amp; L is expired on 03.11.2021</t>
  </si>
  <si>
    <t>Leave &amp; Licence (Economic Laws Practice)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</si>
</sst>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Rupee Foradian"/>
      <family val="2"/>
    </font>
    <font>
      <sz val="11"/>
      <name val="Rupee Foradian"/>
      <family val="2"/>
    </font>
    <font>
      <b/>
      <sz val="11"/>
      <color theme="1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0" fillId="0" borderId="8" xfId="0" applyBorder="1"/>
    <xf numFmtId="0" fontId="1" fillId="0" borderId="8" xfId="0" applyFon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1" fillId="0" borderId="8" xfId="1" applyNumberFormat="1" applyFont="1" applyBorder="1"/>
    <xf numFmtId="0" fontId="0" fillId="0" borderId="0" xfId="0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13" xfId="0" applyBorder="1"/>
    <xf numFmtId="0" fontId="4" fillId="0" borderId="13" xfId="0" applyFont="1" applyBorder="1" applyAlignment="1">
      <alignment wrapText="1"/>
    </xf>
    <xf numFmtId="0" fontId="0" fillId="0" borderId="14" xfId="0" applyBorder="1"/>
    <xf numFmtId="0" fontId="4" fillId="0" borderId="9" xfId="0" applyFont="1" applyBorder="1"/>
    <xf numFmtId="0" fontId="0" fillId="0" borderId="15" xfId="0" applyBorder="1"/>
    <xf numFmtId="0" fontId="0" fillId="0" borderId="10" xfId="0" applyBorder="1"/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4" fillId="0" borderId="16" xfId="0" applyFont="1" applyBorder="1" applyAlignment="1">
      <alignment horizontal="right" wrapText="1"/>
    </xf>
    <xf numFmtId="0" fontId="1" fillId="0" borderId="18" xfId="0" applyFont="1" applyBorder="1"/>
    <xf numFmtId="0" fontId="1" fillId="0" borderId="19" xfId="0" applyFont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5" fillId="0" borderId="8" xfId="0" applyFont="1" applyBorder="1"/>
    <xf numFmtId="0" fontId="4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4" fillId="0" borderId="0" xfId="0" applyFont="1" applyAlignment="1">
      <alignment horizontal="right" wrapText="1"/>
    </xf>
    <xf numFmtId="9" fontId="0" fillId="2" borderId="8" xfId="1" applyNumberFormat="1" applyFont="1" applyFill="1" applyBorder="1"/>
    <xf numFmtId="9" fontId="0" fillId="2" borderId="8" xfId="0" applyNumberFormat="1" applyFill="1" applyBorder="1"/>
    <xf numFmtId="0" fontId="0" fillId="2" borderId="8" xfId="0" applyFill="1" applyBorder="1" applyAlignment="1">
      <alignment wrapText="1"/>
    </xf>
    <xf numFmtId="0" fontId="0" fillId="2" borderId="0" xfId="0" applyFill="1"/>
    <xf numFmtId="43" fontId="0" fillId="0" borderId="0" xfId="1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28" xfId="0" applyBorder="1"/>
    <xf numFmtId="0" fontId="6" fillId="0" borderId="0" xfId="0" applyFont="1"/>
    <xf numFmtId="43" fontId="6" fillId="0" borderId="0" xfId="1" applyFont="1"/>
    <xf numFmtId="9" fontId="6" fillId="0" borderId="0" xfId="0" applyNumberFormat="1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Border="1"/>
    <xf numFmtId="43" fontId="6" fillId="0" borderId="8" xfId="1" applyFont="1" applyBorder="1"/>
    <xf numFmtId="9" fontId="6" fillId="0" borderId="8" xfId="0" applyNumberFormat="1" applyFont="1" applyBorder="1"/>
    <xf numFmtId="43" fontId="6" fillId="0" borderId="8" xfId="0" applyNumberFormat="1" applyFont="1" applyBorder="1"/>
    <xf numFmtId="43" fontId="7" fillId="0" borderId="8" xfId="1" applyFont="1" applyBorder="1"/>
    <xf numFmtId="0" fontId="6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6" fillId="0" borderId="4" xfId="0" applyFont="1" applyBorder="1" applyAlignment="1">
      <alignment horizontal="center"/>
    </xf>
    <xf numFmtId="0" fontId="8" fillId="0" borderId="5" xfId="0" applyFont="1" applyBorder="1"/>
    <xf numFmtId="0" fontId="6" fillId="0" borderId="4" xfId="0" applyFont="1" applyBorder="1"/>
    <xf numFmtId="43" fontId="5" fillId="0" borderId="0" xfId="1" applyFont="1" applyBorder="1"/>
    <xf numFmtId="43" fontId="5" fillId="2" borderId="0" xfId="1" applyFont="1" applyFill="1" applyBorder="1"/>
    <xf numFmtId="0" fontId="6" fillId="0" borderId="4" xfId="0" applyFont="1" applyBorder="1" applyAlignment="1">
      <alignment wrapText="1"/>
    </xf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0" fontId="6" fillId="2" borderId="4" xfId="0" applyFont="1" applyFill="1" applyBorder="1"/>
    <xf numFmtId="43" fontId="5" fillId="2" borderId="0" xfId="1" applyFont="1" applyFill="1"/>
    <xf numFmtId="43" fontId="5" fillId="0" borderId="0" xfId="1" applyFont="1"/>
    <xf numFmtId="43" fontId="5" fillId="0" borderId="0" xfId="0" applyNumberFormat="1" applyFont="1"/>
    <xf numFmtId="43" fontId="9" fillId="0" borderId="4" xfId="0" applyNumberFormat="1" applyFont="1" applyBorder="1"/>
    <xf numFmtId="0" fontId="8" fillId="0" borderId="4" xfId="0" applyFont="1" applyBorder="1"/>
    <xf numFmtId="43" fontId="8" fillId="0" borderId="0" xfId="0" applyNumberFormat="1" applyFont="1"/>
    <xf numFmtId="0" fontId="6" fillId="0" borderId="6" xfId="0" applyFont="1" applyBorder="1"/>
    <xf numFmtId="43" fontId="8" fillId="0" borderId="7" xfId="0" applyNumberFormat="1" applyFont="1" applyBorder="1"/>
    <xf numFmtId="0" fontId="8" fillId="0" borderId="0" xfId="0" applyFont="1"/>
    <xf numFmtId="9" fontId="6" fillId="0" borderId="0" xfId="2" applyFont="1"/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0</xdr:rowOff>
    </xdr:from>
    <xdr:to>
      <xdr:col>10</xdr:col>
      <xdr:colOff>534211</xdr:colOff>
      <xdr:row>39</xdr:row>
      <xdr:rowOff>58299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72849C-CB86-5B18-191C-16F9C8C97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0" y="0"/>
          <a:ext cx="5811061" cy="8230749"/>
        </a:xfrm>
        <a:prstGeom prst="rect">
          <a:avLst/>
        </a:prstGeom>
      </xdr:spPr>
    </xdr:pic>
    <xdr:clientData/>
  </xdr:twoCellAnchor>
  <xdr:twoCellAnchor editAs="oneCell">
    <xdr:from>
      <xdr:col>11</xdr:col>
      <xdr:colOff>523875</xdr:colOff>
      <xdr:row>0</xdr:row>
      <xdr:rowOff>0</xdr:rowOff>
    </xdr:from>
    <xdr:to>
      <xdr:col>17</xdr:col>
      <xdr:colOff>334183</xdr:colOff>
      <xdr:row>39</xdr:row>
      <xdr:rowOff>48772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27AB01-CE19-D6A9-B297-DC0C0906B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20675" y="0"/>
          <a:ext cx="5792008" cy="8221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324661</xdr:colOff>
      <xdr:row>43</xdr:row>
      <xdr:rowOff>10670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F0D127-F810-7E30-46C9-E86513929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11061" cy="8202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161925</xdr:rowOff>
    </xdr:from>
    <xdr:to>
      <xdr:col>13</xdr:col>
      <xdr:colOff>505999</xdr:colOff>
      <xdr:row>48</xdr:row>
      <xdr:rowOff>1254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D47209-7353-4341-A929-8EC344769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61925"/>
          <a:ext cx="8411749" cy="89833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468747</xdr:colOff>
      <xdr:row>40</xdr:row>
      <xdr:rowOff>48695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6CFEE3-6C2A-A02B-B6B1-359DBB911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89547" cy="7668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C84"/>
  <sheetViews>
    <sheetView workbookViewId="0">
      <selection activeCell="B19" sqref="B19"/>
    </sheetView>
  </sheetViews>
  <sheetFormatPr defaultColWidth="14.140625" defaultRowHeight="16.5" x14ac:dyDescent="0.3"/>
  <cols>
    <col min="1" max="1" width="33.42578125" style="52" bestFit="1" customWidth="1"/>
    <col min="2" max="2" width="14.7109375" style="84" bestFit="1" customWidth="1"/>
    <col min="3" max="3" width="12.140625" style="84" bestFit="1" customWidth="1"/>
    <col min="4" max="16384" width="14.140625" style="52"/>
  </cols>
  <sheetData>
    <row r="1" spans="1:3" x14ac:dyDescent="0.3">
      <c r="A1" s="63"/>
      <c r="B1" s="64"/>
      <c r="C1" s="65"/>
    </row>
    <row r="2" spans="1:3" x14ac:dyDescent="0.3">
      <c r="A2" s="66" t="s">
        <v>34</v>
      </c>
      <c r="B2" s="56"/>
      <c r="C2" s="67"/>
    </row>
    <row r="3" spans="1:3" x14ac:dyDescent="0.3">
      <c r="A3" s="68" t="s">
        <v>60</v>
      </c>
      <c r="B3" s="69">
        <v>37500</v>
      </c>
      <c r="C3" s="70" t="s">
        <v>32</v>
      </c>
    </row>
    <row r="4" spans="1:3" x14ac:dyDescent="0.3">
      <c r="A4" s="71" t="s">
        <v>59</v>
      </c>
      <c r="B4" s="69">
        <v>3000</v>
      </c>
      <c r="C4" s="72"/>
    </row>
    <row r="5" spans="1:3" x14ac:dyDescent="0.3">
      <c r="A5" s="68" t="s">
        <v>58</v>
      </c>
      <c r="B5" s="69">
        <f>B3-B4</f>
        <v>34500</v>
      </c>
      <c r="C5" s="72"/>
    </row>
    <row r="6" spans="1:3" x14ac:dyDescent="0.3">
      <c r="A6" s="68" t="s">
        <v>57</v>
      </c>
      <c r="B6" s="69">
        <f>B4</f>
        <v>3000</v>
      </c>
      <c r="C6" s="72"/>
    </row>
    <row r="7" spans="1:3" x14ac:dyDescent="0.3">
      <c r="A7" s="68" t="s">
        <v>56</v>
      </c>
      <c r="B7" s="73">
        <v>52</v>
      </c>
      <c r="C7" s="73">
        <v>2024</v>
      </c>
    </row>
    <row r="8" spans="1:3" x14ac:dyDescent="0.3">
      <c r="A8" s="68" t="s">
        <v>55</v>
      </c>
      <c r="B8" s="73">
        <f>B9-B7</f>
        <v>8</v>
      </c>
      <c r="C8" s="73">
        <v>1972</v>
      </c>
    </row>
    <row r="9" spans="1:3" x14ac:dyDescent="0.3">
      <c r="A9" s="68" t="s">
        <v>54</v>
      </c>
      <c r="B9" s="73">
        <v>60</v>
      </c>
      <c r="C9" s="73"/>
    </row>
    <row r="10" spans="1:3" x14ac:dyDescent="0.3">
      <c r="A10" s="71" t="s">
        <v>1</v>
      </c>
      <c r="B10" s="73">
        <f>90*B7/B9</f>
        <v>78</v>
      </c>
      <c r="C10" s="73"/>
    </row>
    <row r="11" spans="1:3" x14ac:dyDescent="0.3">
      <c r="A11" s="68"/>
      <c r="B11" s="74">
        <f>B10%</f>
        <v>0.78</v>
      </c>
      <c r="C11" s="74"/>
    </row>
    <row r="12" spans="1:3" x14ac:dyDescent="0.3">
      <c r="A12" s="68" t="s">
        <v>53</v>
      </c>
      <c r="B12" s="69">
        <f>B6*B11</f>
        <v>2340</v>
      </c>
      <c r="C12" s="72"/>
    </row>
    <row r="13" spans="1:3" x14ac:dyDescent="0.3">
      <c r="A13" s="68" t="s">
        <v>51</v>
      </c>
      <c r="B13" s="69">
        <f>B6-B12</f>
        <v>660</v>
      </c>
      <c r="C13" s="72"/>
    </row>
    <row r="14" spans="1:3" x14ac:dyDescent="0.3">
      <c r="A14" s="68" t="s">
        <v>58</v>
      </c>
      <c r="B14" s="69">
        <f>B5</f>
        <v>34500</v>
      </c>
      <c r="C14" s="72"/>
    </row>
    <row r="15" spans="1:3" x14ac:dyDescent="0.3">
      <c r="B15" s="69"/>
      <c r="C15" s="72"/>
    </row>
    <row r="16" spans="1:3" x14ac:dyDescent="0.3">
      <c r="A16" s="75" t="s">
        <v>52</v>
      </c>
      <c r="B16" s="70">
        <f>B14+B13</f>
        <v>35160</v>
      </c>
      <c r="C16" s="72">
        <f>B16*1.2</f>
        <v>42192</v>
      </c>
    </row>
    <row r="17" spans="1:3" x14ac:dyDescent="0.3">
      <c r="B17" s="73"/>
      <c r="C17" s="73"/>
    </row>
    <row r="18" spans="1:3" x14ac:dyDescent="0.3">
      <c r="A18" s="75" t="s">
        <v>43</v>
      </c>
      <c r="B18" s="76">
        <v>15645</v>
      </c>
      <c r="C18" s="77">
        <f>B18/10.764</f>
        <v>1453.4559643255295</v>
      </c>
    </row>
    <row r="19" spans="1:3" x14ac:dyDescent="0.3">
      <c r="A19" s="75" t="s">
        <v>44</v>
      </c>
      <c r="B19" s="76">
        <f>B18*B16</f>
        <v>550078200</v>
      </c>
      <c r="C19" s="77"/>
    </row>
    <row r="20" spans="1:3" x14ac:dyDescent="0.3">
      <c r="A20" s="68" t="s">
        <v>45</v>
      </c>
      <c r="B20" s="78">
        <f>B19</f>
        <v>550078200</v>
      </c>
      <c r="C20" s="79"/>
    </row>
    <row r="21" spans="1:3" x14ac:dyDescent="0.3">
      <c r="A21" s="80" t="s">
        <v>46</v>
      </c>
      <c r="B21" s="81">
        <f>ROUND(B20*90%,0)</f>
        <v>495070380</v>
      </c>
      <c r="C21" s="78"/>
    </row>
    <row r="22" spans="1:3" x14ac:dyDescent="0.3">
      <c r="A22" s="80" t="s">
        <v>47</v>
      </c>
      <c r="B22" s="81">
        <f>B20*80%</f>
        <v>440062560</v>
      </c>
      <c r="C22" s="81"/>
    </row>
    <row r="23" spans="1:3" x14ac:dyDescent="0.3">
      <c r="A23" s="68" t="s">
        <v>48</v>
      </c>
      <c r="B23" s="81">
        <f>'Depreciation (2)'!E11*'Calculation VCIPL'!B18</f>
        <v>412449135</v>
      </c>
      <c r="C23" s="78"/>
    </row>
    <row r="24" spans="1:3" x14ac:dyDescent="0.3">
      <c r="A24" s="82" t="s">
        <v>49</v>
      </c>
      <c r="B24" s="83">
        <f>B4*B18</f>
        <v>46935000</v>
      </c>
      <c r="C24" s="83"/>
    </row>
    <row r="25" spans="1:3" x14ac:dyDescent="0.3">
      <c r="A25" s="80" t="s">
        <v>50</v>
      </c>
      <c r="B25" s="81">
        <f>ROUND(B20*0.08/12,0)</f>
        <v>3667188</v>
      </c>
      <c r="C25" s="81"/>
    </row>
    <row r="26" spans="1:3" x14ac:dyDescent="0.3">
      <c r="B26" s="81"/>
      <c r="C26" s="81"/>
    </row>
    <row r="27" spans="1:3" x14ac:dyDescent="0.3">
      <c r="B27" s="81"/>
      <c r="C27" s="78"/>
    </row>
    <row r="28" spans="1:3" x14ac:dyDescent="0.3">
      <c r="B28" s="52"/>
      <c r="C28" s="55"/>
    </row>
    <row r="29" spans="1:3" x14ac:dyDescent="0.3">
      <c r="B29" s="52"/>
      <c r="C29" s="52"/>
    </row>
    <row r="30" spans="1:3" x14ac:dyDescent="0.3">
      <c r="B30" s="52"/>
      <c r="C30" s="52"/>
    </row>
    <row r="31" spans="1:3" x14ac:dyDescent="0.3">
      <c r="B31" s="52"/>
      <c r="C31" s="52"/>
    </row>
    <row r="32" spans="1:3" x14ac:dyDescent="0.3">
      <c r="B32" s="52"/>
      <c r="C32" s="52"/>
    </row>
    <row r="33" spans="1:3" x14ac:dyDescent="0.3">
      <c r="B33" s="52"/>
      <c r="C33" s="52"/>
    </row>
    <row r="34" spans="1:3" x14ac:dyDescent="0.3">
      <c r="B34" s="52"/>
      <c r="C34" s="52"/>
    </row>
    <row r="35" spans="1:3" x14ac:dyDescent="0.3">
      <c r="B35" s="52"/>
      <c r="C35" s="52"/>
    </row>
    <row r="36" spans="1:3" x14ac:dyDescent="0.3">
      <c r="B36" s="52"/>
      <c r="C36" s="52"/>
    </row>
    <row r="37" spans="1:3" x14ac:dyDescent="0.3">
      <c r="B37" s="52"/>
      <c r="C37" s="52"/>
    </row>
    <row r="38" spans="1:3" x14ac:dyDescent="0.3">
      <c r="B38" s="52"/>
      <c r="C38" s="52"/>
    </row>
    <row r="39" spans="1:3" x14ac:dyDescent="0.3">
      <c r="B39" s="52"/>
      <c r="C39" s="52"/>
    </row>
    <row r="40" spans="1:3" x14ac:dyDescent="0.3">
      <c r="B40" s="52"/>
      <c r="C40" s="52"/>
    </row>
    <row r="46" spans="1:3" x14ac:dyDescent="0.3">
      <c r="A46" s="54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84" spans="2:2" x14ac:dyDescent="0.3">
      <c r="B84" s="84">
        <f>B83*B82</f>
        <v>0</v>
      </c>
    </row>
  </sheetData>
  <mergeCells count="1"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06B93-299D-4106-996E-398A086B789E}">
  <dimension ref="A1:K25"/>
  <sheetViews>
    <sheetView workbookViewId="0">
      <selection activeCell="A6" sqref="A6:D8"/>
    </sheetView>
  </sheetViews>
  <sheetFormatPr defaultRowHeight="16.5" x14ac:dyDescent="0.3"/>
  <cols>
    <col min="1" max="1" width="50.140625" style="52" bestFit="1" customWidth="1"/>
    <col min="2" max="2" width="14.7109375" style="52" bestFit="1" customWidth="1"/>
    <col min="3" max="3" width="13.7109375" style="52" bestFit="1" customWidth="1"/>
    <col min="4" max="4" width="14.7109375" style="52" bestFit="1" customWidth="1"/>
    <col min="5" max="5" width="3.28515625" style="52" bestFit="1" customWidth="1"/>
    <col min="6" max="6" width="19.85546875" style="52" bestFit="1" customWidth="1"/>
    <col min="7" max="7" width="6.7109375" style="52" bestFit="1" customWidth="1"/>
    <col min="8" max="8" width="19.28515625" style="52" bestFit="1" customWidth="1"/>
    <col min="9" max="9" width="18.42578125" style="52" bestFit="1" customWidth="1"/>
    <col min="10" max="10" width="16.5703125" style="52" bestFit="1" customWidth="1"/>
    <col min="11" max="11" width="10" style="52" bestFit="1" customWidth="1"/>
    <col min="12" max="12" width="18.140625" style="52" bestFit="1" customWidth="1"/>
    <col min="13" max="13" width="16" style="52" bestFit="1" customWidth="1"/>
    <col min="14" max="14" width="19.28515625" style="52" bestFit="1" customWidth="1"/>
    <col min="15" max="15" width="17.42578125" style="52" bestFit="1" customWidth="1"/>
    <col min="16" max="16" width="9.7109375" style="52" bestFit="1" customWidth="1"/>
    <col min="17" max="16384" width="9.140625" style="52"/>
  </cols>
  <sheetData>
    <row r="1" spans="1:11" x14ac:dyDescent="0.3">
      <c r="A1" s="57" t="s">
        <v>35</v>
      </c>
      <c r="B1" s="58">
        <v>1</v>
      </c>
      <c r="C1" s="58">
        <v>2</v>
      </c>
      <c r="D1" s="86" t="s">
        <v>42</v>
      </c>
    </row>
    <row r="2" spans="1:11" x14ac:dyDescent="0.3">
      <c r="A2" s="57" t="s">
        <v>38</v>
      </c>
      <c r="B2" s="58" t="s">
        <v>39</v>
      </c>
      <c r="C2" s="58" t="s">
        <v>40</v>
      </c>
      <c r="D2" s="87"/>
    </row>
    <row r="3" spans="1:11" x14ac:dyDescent="0.3">
      <c r="A3" s="57" t="s">
        <v>64</v>
      </c>
      <c r="B3" s="58" t="s">
        <v>65</v>
      </c>
      <c r="C3" s="58" t="s">
        <v>65</v>
      </c>
      <c r="D3" s="87"/>
    </row>
    <row r="4" spans="1:11" x14ac:dyDescent="0.3">
      <c r="A4" s="57" t="s">
        <v>66</v>
      </c>
      <c r="B4" s="58" t="s">
        <v>67</v>
      </c>
      <c r="C4" s="58" t="s">
        <v>67</v>
      </c>
      <c r="D4" s="87"/>
    </row>
    <row r="5" spans="1:11" x14ac:dyDescent="0.3">
      <c r="A5" s="57" t="s">
        <v>68</v>
      </c>
      <c r="B5" s="58">
        <v>60</v>
      </c>
      <c r="C5" s="58">
        <v>60</v>
      </c>
      <c r="D5" s="88"/>
    </row>
    <row r="6" spans="1:11" x14ac:dyDescent="0.3">
      <c r="A6" s="57" t="s">
        <v>36</v>
      </c>
      <c r="B6" s="59">
        <v>10831</v>
      </c>
      <c r="C6" s="59">
        <v>2569</v>
      </c>
      <c r="D6" s="62">
        <f>SUM(B6:C6)</f>
        <v>13400</v>
      </c>
    </row>
    <row r="7" spans="1:11" x14ac:dyDescent="0.3">
      <c r="A7" s="57" t="s">
        <v>69</v>
      </c>
      <c r="B7" s="59">
        <v>6069600</v>
      </c>
      <c r="C7" s="59">
        <v>1440000</v>
      </c>
      <c r="D7" s="62">
        <f>SUM(B7:C7)</f>
        <v>7509600</v>
      </c>
    </row>
    <row r="8" spans="1:11" x14ac:dyDescent="0.3">
      <c r="A8" s="57" t="s">
        <v>70</v>
      </c>
      <c r="B8" s="59">
        <v>2547840</v>
      </c>
      <c r="C8" s="59">
        <v>576000</v>
      </c>
      <c r="D8" s="62">
        <f>SUM(B8:C8)</f>
        <v>3123840</v>
      </c>
      <c r="H8" s="53"/>
      <c r="I8" s="53"/>
      <c r="J8" s="53"/>
      <c r="K8" s="53"/>
    </row>
    <row r="9" spans="1:11" x14ac:dyDescent="0.3">
      <c r="A9" s="57" t="s">
        <v>71</v>
      </c>
      <c r="B9" s="59">
        <f>B7*7%</f>
        <v>424872.00000000006</v>
      </c>
      <c r="C9" s="59">
        <f>C7*7%</f>
        <v>100800.00000000001</v>
      </c>
      <c r="D9" s="59">
        <f>SUM(B9:C9)</f>
        <v>525672.00000000012</v>
      </c>
      <c r="H9" s="53"/>
      <c r="I9" s="53"/>
      <c r="J9" s="53"/>
      <c r="K9" s="53"/>
    </row>
    <row r="10" spans="1:11" x14ac:dyDescent="0.3">
      <c r="A10" s="57" t="s">
        <v>73</v>
      </c>
      <c r="B10" s="59">
        <f>B8*12+(B9)</f>
        <v>30998952</v>
      </c>
      <c r="C10" s="59">
        <f>C8*12+(C9)</f>
        <v>7012800</v>
      </c>
      <c r="D10" s="62">
        <f>SUM(B10:C10)</f>
        <v>38011752</v>
      </c>
      <c r="H10" s="85"/>
      <c r="I10" s="53"/>
      <c r="J10" s="53"/>
      <c r="K10" s="53"/>
    </row>
    <row r="11" spans="1:11" x14ac:dyDescent="0.3">
      <c r="A11" s="57" t="s">
        <v>72</v>
      </c>
      <c r="B11" s="59">
        <f>B10*20%</f>
        <v>6199790.4000000004</v>
      </c>
      <c r="C11" s="59">
        <f>C10*20%</f>
        <v>1402560</v>
      </c>
      <c r="D11" s="62">
        <f>SUM(B11:C11)</f>
        <v>7602350.4000000004</v>
      </c>
    </row>
    <row r="12" spans="1:11" x14ac:dyDescent="0.3">
      <c r="A12" s="57" t="s">
        <v>74</v>
      </c>
      <c r="B12" s="59">
        <f>B10-B11</f>
        <v>24799161.600000001</v>
      </c>
      <c r="C12" s="59">
        <f>C10-C11</f>
        <v>5610240</v>
      </c>
      <c r="D12" s="62">
        <f>SUM(B12:C12)</f>
        <v>30409401.600000001</v>
      </c>
    </row>
    <row r="13" spans="1:11" x14ac:dyDescent="0.3">
      <c r="A13" s="57" t="s">
        <v>37</v>
      </c>
      <c r="B13" s="60">
        <v>0.08</v>
      </c>
      <c r="C13" s="60">
        <v>0.08</v>
      </c>
      <c r="D13" s="62"/>
    </row>
    <row r="14" spans="1:11" x14ac:dyDescent="0.3">
      <c r="A14" s="57" t="s">
        <v>61</v>
      </c>
      <c r="B14" s="61">
        <f>B12/B13</f>
        <v>309989520</v>
      </c>
      <c r="C14" s="61">
        <f>C12/C13</f>
        <v>70128000</v>
      </c>
      <c r="D14" s="62">
        <f>SUM(B14:C14)</f>
        <v>380117520</v>
      </c>
    </row>
    <row r="15" spans="1:11" x14ac:dyDescent="0.3">
      <c r="A15" s="57" t="s">
        <v>62</v>
      </c>
      <c r="B15" s="61">
        <f>B14*0.9</f>
        <v>278990568</v>
      </c>
      <c r="C15" s="61">
        <f>C14*0.9</f>
        <v>63115200</v>
      </c>
      <c r="D15" s="62">
        <f>SUM(B15:C15)</f>
        <v>342105768</v>
      </c>
    </row>
    <row r="16" spans="1:11" x14ac:dyDescent="0.3">
      <c r="A16" s="57" t="s">
        <v>63</v>
      </c>
      <c r="B16" s="61">
        <f>B14*0.8</f>
        <v>247991616</v>
      </c>
      <c r="C16" s="61">
        <f>C14*0.8</f>
        <v>56102400</v>
      </c>
      <c r="D16" s="62">
        <f>SUM(B16:C16)</f>
        <v>304094016</v>
      </c>
    </row>
    <row r="17" spans="2:6" x14ac:dyDescent="0.3">
      <c r="B17" s="53">
        <f>B14/B6</f>
        <v>28620.58166374296</v>
      </c>
      <c r="C17" s="53">
        <f>C14/C6</f>
        <v>27297.781237835734</v>
      </c>
      <c r="D17" s="53">
        <f>D14/D6</f>
        <v>28366.97910447761</v>
      </c>
    </row>
    <row r="25" spans="2:6" x14ac:dyDescent="0.3">
      <c r="F25" s="52" t="s">
        <v>41</v>
      </c>
    </row>
  </sheetData>
  <mergeCells count="1">
    <mergeCell ref="D1:D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DC9A-2F9E-4AF9-92DF-4B33925E8449}">
  <dimension ref="A1"/>
  <sheetViews>
    <sheetView tabSelected="1" zoomScale="130" zoomScaleNormal="130" workbookViewId="0">
      <selection activeCell="S26" sqref="S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2511A-E02C-4D83-8E69-3F89074543BF}">
  <dimension ref="A1:Q76"/>
  <sheetViews>
    <sheetView zoomScaleNormal="100" workbookViewId="0">
      <selection activeCell="E39" sqref="E39"/>
    </sheetView>
  </sheetViews>
  <sheetFormatPr defaultRowHeight="15" x14ac:dyDescent="0.25"/>
  <cols>
    <col min="1" max="1" width="10.5703125" customWidth="1"/>
    <col min="2" max="2" width="52.28515625" bestFit="1" customWidth="1"/>
    <col min="3" max="3" width="13.7109375" bestFit="1" customWidth="1"/>
    <col min="4" max="4" width="10.7109375" bestFit="1" customWidth="1"/>
    <col min="5" max="5" width="15.42578125" bestFit="1" customWidth="1"/>
    <col min="6" max="6" width="6.42578125" bestFit="1" customWidth="1"/>
    <col min="7" max="7" width="8.28515625" style="11" customWidth="1"/>
    <col min="8" max="8" width="13.7109375" style="42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1"/>
    </row>
    <row r="2" spans="2:17" ht="15.75" thickBot="1" x14ac:dyDescent="0.3">
      <c r="G2" s="49" t="s">
        <v>16</v>
      </c>
      <c r="H2" s="50"/>
    </row>
    <row r="3" spans="2:17" ht="27" thickBot="1" x14ac:dyDescent="0.3">
      <c r="B3" s="5" t="s">
        <v>31</v>
      </c>
      <c r="C3" s="4">
        <v>518000</v>
      </c>
      <c r="D3" s="5"/>
      <c r="E3" s="5"/>
      <c r="F3" s="5"/>
      <c r="G3" s="12" t="s">
        <v>17</v>
      </c>
      <c r="H3" s="13" t="s">
        <v>18</v>
      </c>
      <c r="I3" s="14"/>
      <c r="K3" s="15" t="s">
        <v>19</v>
      </c>
      <c r="L3" s="16"/>
      <c r="N3" s="17" t="s">
        <v>20</v>
      </c>
      <c r="O3" s="18"/>
      <c r="P3" s="18"/>
      <c r="Q3" s="19"/>
    </row>
    <row r="4" spans="2:17" ht="27" thickBot="1" x14ac:dyDescent="0.3">
      <c r="B4" s="5" t="s">
        <v>30</v>
      </c>
      <c r="C4" s="4">
        <f>C3*5%</f>
        <v>25900</v>
      </c>
      <c r="D4" s="5"/>
      <c r="E4" s="5"/>
      <c r="F4" s="5"/>
      <c r="G4" s="20">
        <v>1</v>
      </c>
      <c r="H4" s="21">
        <v>0</v>
      </c>
      <c r="I4" s="22">
        <v>100</v>
      </c>
      <c r="K4" s="23" t="s">
        <v>2</v>
      </c>
      <c r="L4" s="24" t="s">
        <v>3</v>
      </c>
      <c r="N4" s="12" t="s">
        <v>17</v>
      </c>
      <c r="O4" s="25" t="s">
        <v>18</v>
      </c>
      <c r="P4" s="26"/>
    </row>
    <row r="5" spans="2:17" ht="15.75" thickBot="1" x14ac:dyDescent="0.3">
      <c r="B5" s="5" t="s">
        <v>33</v>
      </c>
      <c r="C5" s="4">
        <f>C3*15%</f>
        <v>77700</v>
      </c>
      <c r="D5" s="5"/>
      <c r="E5" s="5"/>
      <c r="F5" s="5"/>
      <c r="G5" s="20"/>
      <c r="H5" s="21"/>
      <c r="I5" s="22"/>
      <c r="K5" s="23"/>
      <c r="L5" s="24"/>
      <c r="N5" s="12"/>
      <c r="O5" s="25"/>
      <c r="P5" s="51"/>
    </row>
    <row r="6" spans="2:17" ht="15.75" thickBot="1" x14ac:dyDescent="0.3">
      <c r="B6" s="5" t="s">
        <v>21</v>
      </c>
      <c r="C6" s="4">
        <f>C3+C4-C5</f>
        <v>466200</v>
      </c>
      <c r="D6" s="5" t="s">
        <v>11</v>
      </c>
      <c r="E6" s="6">
        <f>ROUND(C6/10.764,0)</f>
        <v>43311</v>
      </c>
      <c r="F6" s="5" t="s">
        <v>12</v>
      </c>
      <c r="G6" s="20">
        <v>2</v>
      </c>
      <c r="H6" s="21">
        <v>0</v>
      </c>
      <c r="I6" s="22">
        <v>100</v>
      </c>
      <c r="K6" s="22">
        <v>2554.8123374210331</v>
      </c>
      <c r="L6" s="27">
        <v>2248.2348569305091</v>
      </c>
      <c r="N6" s="20">
        <v>1</v>
      </c>
      <c r="O6" s="28">
        <v>0</v>
      </c>
      <c r="P6" s="22">
        <v>100</v>
      </c>
    </row>
    <row r="7" spans="2:17" ht="15.75" thickBot="1" x14ac:dyDescent="0.3">
      <c r="B7" s="5" t="s">
        <v>22</v>
      </c>
      <c r="C7" s="4">
        <v>115370</v>
      </c>
      <c r="D7" s="5"/>
      <c r="E7" s="5"/>
      <c r="F7" s="5"/>
      <c r="G7" s="20">
        <v>3</v>
      </c>
      <c r="H7" s="21">
        <v>5</v>
      </c>
      <c r="I7" s="22">
        <v>95</v>
      </c>
      <c r="K7" s="29" t="s">
        <v>0</v>
      </c>
      <c r="L7" s="30" t="s">
        <v>4</v>
      </c>
      <c r="N7" s="20">
        <v>2</v>
      </c>
      <c r="O7" s="28">
        <v>0</v>
      </c>
      <c r="P7" s="22">
        <v>100</v>
      </c>
    </row>
    <row r="8" spans="2:17" ht="15.75" thickBot="1" x14ac:dyDescent="0.3">
      <c r="B8" s="5" t="s">
        <v>23</v>
      </c>
      <c r="C8" s="4">
        <f>C6-C7</f>
        <v>350830</v>
      </c>
      <c r="D8" s="5"/>
      <c r="E8" s="5"/>
      <c r="F8" s="5"/>
      <c r="G8" s="20">
        <v>4</v>
      </c>
      <c r="H8" s="21">
        <v>5</v>
      </c>
      <c r="I8" s="22">
        <v>95</v>
      </c>
      <c r="K8" s="22" t="s">
        <v>6</v>
      </c>
      <c r="L8" s="27" t="s">
        <v>7</v>
      </c>
      <c r="N8" s="20">
        <v>3</v>
      </c>
      <c r="O8" s="28">
        <v>5</v>
      </c>
      <c r="P8" s="22">
        <v>95</v>
      </c>
    </row>
    <row r="9" spans="2:17" ht="15.75" thickBot="1" x14ac:dyDescent="0.3">
      <c r="B9" s="5" t="s">
        <v>24</v>
      </c>
      <c r="C9" s="44">
        <v>0.52</v>
      </c>
      <c r="D9" s="45">
        <f>1-C9</f>
        <v>0.48</v>
      </c>
      <c r="E9" s="5"/>
      <c r="F9" s="5"/>
      <c r="G9" s="20">
        <v>5</v>
      </c>
      <c r="H9" s="21">
        <v>5</v>
      </c>
      <c r="I9" s="22">
        <v>95</v>
      </c>
      <c r="K9" s="22"/>
      <c r="L9" s="27"/>
      <c r="N9" s="20">
        <v>4</v>
      </c>
      <c r="O9" s="28">
        <v>5</v>
      </c>
      <c r="P9" s="22">
        <v>95</v>
      </c>
    </row>
    <row r="10" spans="2:17" ht="15.75" thickBot="1" x14ac:dyDescent="0.3">
      <c r="B10" s="46" t="s">
        <v>25</v>
      </c>
      <c r="C10" s="4">
        <f>ROUND(C8*D9,0)</f>
        <v>168398</v>
      </c>
      <c r="D10" s="47"/>
      <c r="E10" s="5"/>
      <c r="F10" s="5"/>
      <c r="G10" s="20">
        <v>6</v>
      </c>
      <c r="H10" s="21">
        <v>6</v>
      </c>
      <c r="I10" s="22">
        <v>94</v>
      </c>
      <c r="K10" s="31" t="s">
        <v>5</v>
      </c>
      <c r="L10" s="32">
        <v>0.05</v>
      </c>
      <c r="N10" s="20">
        <v>5</v>
      </c>
      <c r="O10" s="28">
        <v>5</v>
      </c>
      <c r="P10" s="22">
        <v>95</v>
      </c>
    </row>
    <row r="11" spans="2:17" ht="15.75" thickBot="1" x14ac:dyDescent="0.3">
      <c r="B11" s="5" t="s">
        <v>26</v>
      </c>
      <c r="C11" s="4">
        <f>C7+C10</f>
        <v>283768</v>
      </c>
      <c r="D11" s="5" t="s">
        <v>11</v>
      </c>
      <c r="E11" s="6">
        <f>ROUND(C11/10.764,0)</f>
        <v>26363</v>
      </c>
      <c r="F11" s="5" t="s">
        <v>12</v>
      </c>
      <c r="G11" s="20">
        <v>7</v>
      </c>
      <c r="H11" s="21">
        <v>7</v>
      </c>
      <c r="I11" s="22">
        <v>93</v>
      </c>
      <c r="K11" s="33" t="s">
        <v>8</v>
      </c>
      <c r="L11" s="32">
        <v>0.1</v>
      </c>
      <c r="N11" s="20">
        <v>6</v>
      </c>
      <c r="O11" s="28">
        <v>6.5</v>
      </c>
      <c r="P11" s="22">
        <f t="shared" ref="P11:P64" si="0">P10-1.5</f>
        <v>93.5</v>
      </c>
    </row>
    <row r="12" spans="2:17" ht="15.75" thickBot="1" x14ac:dyDescent="0.3">
      <c r="C12" s="8"/>
      <c r="G12" s="20">
        <v>8</v>
      </c>
      <c r="H12" s="21">
        <v>8</v>
      </c>
      <c r="I12" s="22">
        <v>92</v>
      </c>
      <c r="K12" s="22" t="s">
        <v>9</v>
      </c>
      <c r="L12" s="32">
        <v>0.15</v>
      </c>
      <c r="N12" s="20">
        <v>7</v>
      </c>
      <c r="O12" s="28">
        <v>8</v>
      </c>
      <c r="P12" s="22">
        <f t="shared" si="0"/>
        <v>92</v>
      </c>
    </row>
    <row r="13" spans="2:17" ht="15.75" thickBot="1" x14ac:dyDescent="0.3">
      <c r="B13" s="3" t="s">
        <v>13</v>
      </c>
      <c r="C13" s="10">
        <v>2024</v>
      </c>
      <c r="E13" s="9">
        <v>15645</v>
      </c>
      <c r="G13" s="20">
        <v>9</v>
      </c>
      <c r="H13" s="21">
        <v>9</v>
      </c>
      <c r="I13" s="22">
        <v>91</v>
      </c>
      <c r="K13" s="34" t="s">
        <v>10</v>
      </c>
      <c r="L13" s="35">
        <v>0.2</v>
      </c>
      <c r="N13" s="20">
        <v>8</v>
      </c>
      <c r="O13" s="28">
        <v>9.5</v>
      </c>
      <c r="P13" s="22">
        <f t="shared" si="0"/>
        <v>90.5</v>
      </c>
    </row>
    <row r="14" spans="2:17" ht="15.75" thickBot="1" x14ac:dyDescent="0.3">
      <c r="B14" s="3" t="s">
        <v>14</v>
      </c>
      <c r="C14" s="10">
        <v>1972</v>
      </c>
      <c r="D14" s="9"/>
      <c r="E14" s="48">
        <f>E13*E11</f>
        <v>412449135</v>
      </c>
      <c r="G14" s="20">
        <v>10</v>
      </c>
      <c r="H14" s="21">
        <v>10</v>
      </c>
      <c r="I14" s="22">
        <v>90</v>
      </c>
      <c r="K14" s="36"/>
      <c r="L14" s="37"/>
      <c r="N14" s="20">
        <v>9</v>
      </c>
      <c r="O14" s="28">
        <v>11</v>
      </c>
      <c r="P14" s="22">
        <f t="shared" si="0"/>
        <v>89</v>
      </c>
    </row>
    <row r="15" spans="2:17" ht="15.75" thickBot="1" x14ac:dyDescent="0.3">
      <c r="B15" s="3" t="s">
        <v>15</v>
      </c>
      <c r="C15" s="10">
        <f>C13-C14</f>
        <v>52</v>
      </c>
      <c r="E15" s="48">
        <f>E14*6%</f>
        <v>24746948.099999998</v>
      </c>
      <c r="G15" s="20">
        <v>11</v>
      </c>
      <c r="H15" s="21">
        <v>11</v>
      </c>
      <c r="I15" s="22">
        <v>89</v>
      </c>
      <c r="K15" s="38"/>
      <c r="L15" s="39"/>
      <c r="N15" s="20">
        <v>10</v>
      </c>
      <c r="O15" s="28">
        <v>12.5</v>
      </c>
      <c r="P15" s="22">
        <f t="shared" si="0"/>
        <v>87.5</v>
      </c>
    </row>
    <row r="16" spans="2:17" ht="17.25" thickBot="1" x14ac:dyDescent="0.35">
      <c r="B16" s="40" t="s">
        <v>27</v>
      </c>
      <c r="C16" s="3">
        <f>60-C15</f>
        <v>8</v>
      </c>
      <c r="E16" s="48">
        <v>30000</v>
      </c>
      <c r="G16" s="20">
        <v>12</v>
      </c>
      <c r="H16" s="21">
        <v>12</v>
      </c>
      <c r="I16" s="22">
        <v>88</v>
      </c>
      <c r="N16" s="20">
        <v>11</v>
      </c>
      <c r="O16" s="28">
        <v>14</v>
      </c>
      <c r="P16" s="22">
        <f t="shared" si="0"/>
        <v>86</v>
      </c>
    </row>
    <row r="17" spans="1:16" ht="15.75" thickBot="1" x14ac:dyDescent="0.3">
      <c r="E17" s="9">
        <f>E14+E16+E15</f>
        <v>437226083.10000002</v>
      </c>
      <c r="G17" s="20">
        <v>13</v>
      </c>
      <c r="H17" s="21">
        <v>13</v>
      </c>
      <c r="I17" s="22">
        <v>87</v>
      </c>
      <c r="J17" s="9"/>
      <c r="N17" s="20">
        <v>12</v>
      </c>
      <c r="O17" s="28">
        <v>15.5</v>
      </c>
      <c r="P17" s="22">
        <f t="shared" si="0"/>
        <v>84.5</v>
      </c>
    </row>
    <row r="18" spans="1:16" ht="15.75" thickBot="1" x14ac:dyDescent="0.3">
      <c r="E18" s="48">
        <f>E17/E13</f>
        <v>27946.697545541709</v>
      </c>
      <c r="G18" s="20">
        <v>14</v>
      </c>
      <c r="H18" s="21">
        <v>14</v>
      </c>
      <c r="I18" s="22">
        <v>86</v>
      </c>
      <c r="K18" s="9"/>
      <c r="L18" s="9"/>
      <c r="N18" s="20">
        <v>13</v>
      </c>
      <c r="O18" s="28">
        <v>17</v>
      </c>
      <c r="P18" s="22">
        <f t="shared" si="0"/>
        <v>83</v>
      </c>
    </row>
    <row r="19" spans="1:16" ht="15.75" thickBot="1" x14ac:dyDescent="0.3">
      <c r="G19" s="20">
        <v>15</v>
      </c>
      <c r="H19" s="21">
        <v>15</v>
      </c>
      <c r="I19" s="22">
        <v>85</v>
      </c>
      <c r="J19" s="9"/>
      <c r="L19" s="9"/>
      <c r="N19" s="20">
        <v>14</v>
      </c>
      <c r="O19" s="28">
        <v>18.5</v>
      </c>
      <c r="P19" s="22">
        <f t="shared" si="0"/>
        <v>81.5</v>
      </c>
    </row>
    <row r="20" spans="1:16" ht="15.75" thickBot="1" x14ac:dyDescent="0.3">
      <c r="G20" s="20">
        <v>16</v>
      </c>
      <c r="H20" s="21">
        <v>16</v>
      </c>
      <c r="I20" s="22">
        <v>84</v>
      </c>
      <c r="N20" s="20">
        <v>15</v>
      </c>
      <c r="O20" s="28">
        <v>20</v>
      </c>
      <c r="P20" s="22">
        <f t="shared" si="0"/>
        <v>80</v>
      </c>
    </row>
    <row r="21" spans="1:16" ht="15.75" thickBot="1" x14ac:dyDescent="0.3">
      <c r="G21" s="20">
        <v>17</v>
      </c>
      <c r="H21" s="21">
        <v>17</v>
      </c>
      <c r="I21" s="22">
        <v>83</v>
      </c>
      <c r="N21" s="20">
        <v>16</v>
      </c>
      <c r="O21" s="28">
        <v>21.5</v>
      </c>
      <c r="P21" s="22">
        <f t="shared" si="0"/>
        <v>78.5</v>
      </c>
    </row>
    <row r="22" spans="1:16" ht="15.75" thickBot="1" x14ac:dyDescent="0.3">
      <c r="G22" s="20">
        <v>18</v>
      </c>
      <c r="H22" s="21">
        <v>18</v>
      </c>
      <c r="I22" s="22">
        <v>82</v>
      </c>
      <c r="N22" s="20">
        <v>17</v>
      </c>
      <c r="O22" s="28">
        <v>23</v>
      </c>
      <c r="P22" s="22">
        <f t="shared" si="0"/>
        <v>77</v>
      </c>
    </row>
    <row r="23" spans="1:16" ht="15.75" thickBot="1" x14ac:dyDescent="0.3">
      <c r="G23" s="20">
        <v>19</v>
      </c>
      <c r="H23" s="21">
        <v>19</v>
      </c>
      <c r="I23" s="22">
        <v>81</v>
      </c>
      <c r="N23" s="20">
        <v>18</v>
      </c>
      <c r="O23" s="28">
        <v>24.5</v>
      </c>
      <c r="P23" s="22">
        <f t="shared" si="0"/>
        <v>75.5</v>
      </c>
    </row>
    <row r="24" spans="1:16" ht="15.75" thickBot="1" x14ac:dyDescent="0.3">
      <c r="B24" s="5" t="s">
        <v>31</v>
      </c>
      <c r="C24" s="4">
        <v>518000</v>
      </c>
      <c r="D24" s="5"/>
      <c r="E24" s="5"/>
      <c r="F24" s="5"/>
      <c r="G24" s="20">
        <v>20</v>
      </c>
      <c r="H24" s="21">
        <v>20</v>
      </c>
      <c r="I24" s="22">
        <v>80</v>
      </c>
      <c r="N24" s="20">
        <v>19</v>
      </c>
      <c r="O24" s="28">
        <v>26</v>
      </c>
      <c r="P24" s="22">
        <f t="shared" si="0"/>
        <v>74</v>
      </c>
    </row>
    <row r="25" spans="1:16" ht="15.75" thickBot="1" x14ac:dyDescent="0.3">
      <c r="B25" s="5" t="s">
        <v>30</v>
      </c>
      <c r="C25" s="4">
        <f>C24*5%</f>
        <v>25900</v>
      </c>
      <c r="D25" s="5"/>
      <c r="E25" s="5"/>
      <c r="F25" s="5"/>
      <c r="G25" s="20">
        <v>21</v>
      </c>
      <c r="H25" s="21">
        <v>21</v>
      </c>
      <c r="I25" s="22">
        <v>79</v>
      </c>
      <c r="N25" s="20">
        <v>20</v>
      </c>
      <c r="O25" s="28">
        <v>27.5</v>
      </c>
      <c r="P25" s="22">
        <f t="shared" si="0"/>
        <v>72.5</v>
      </c>
    </row>
    <row r="26" spans="1:16" ht="15.75" thickBot="1" x14ac:dyDescent="0.3">
      <c r="B26" s="5" t="s">
        <v>33</v>
      </c>
      <c r="C26" s="4">
        <v>0</v>
      </c>
      <c r="D26" s="5"/>
      <c r="E26" s="5"/>
      <c r="F26" s="5"/>
      <c r="G26" s="20">
        <v>22</v>
      </c>
      <c r="H26" s="21">
        <v>22</v>
      </c>
      <c r="I26" s="22">
        <v>78</v>
      </c>
      <c r="N26" s="20">
        <v>21</v>
      </c>
      <c r="O26" s="28">
        <v>29</v>
      </c>
      <c r="P26" s="22">
        <f t="shared" si="0"/>
        <v>71</v>
      </c>
    </row>
    <row r="27" spans="1:16" ht="15.75" thickBot="1" x14ac:dyDescent="0.3">
      <c r="B27" s="5" t="s">
        <v>21</v>
      </c>
      <c r="C27" s="4">
        <f>C24+C25-C26</f>
        <v>543900</v>
      </c>
      <c r="D27" s="5" t="s">
        <v>11</v>
      </c>
      <c r="E27" s="6">
        <f>ROUND(C27/10.764,0)</f>
        <v>50530</v>
      </c>
      <c r="F27" s="5" t="s">
        <v>12</v>
      </c>
      <c r="G27" s="20">
        <v>23</v>
      </c>
      <c r="H27" s="21">
        <v>23</v>
      </c>
      <c r="I27" s="22">
        <v>77</v>
      </c>
      <c r="N27" s="20">
        <v>22</v>
      </c>
      <c r="O27" s="28">
        <v>30.5</v>
      </c>
      <c r="P27" s="22">
        <f t="shared" si="0"/>
        <v>69.5</v>
      </c>
    </row>
    <row r="28" spans="1:16" ht="15.75" thickBot="1" x14ac:dyDescent="0.3">
      <c r="B28" s="5" t="s">
        <v>22</v>
      </c>
      <c r="C28" s="4">
        <v>115370</v>
      </c>
      <c r="D28" s="5"/>
      <c r="E28" s="5"/>
      <c r="F28" s="5"/>
      <c r="G28" s="20">
        <v>24</v>
      </c>
      <c r="H28" s="21">
        <v>24</v>
      </c>
      <c r="I28" s="22">
        <v>76</v>
      </c>
      <c r="N28" s="20">
        <v>23</v>
      </c>
      <c r="O28" s="28">
        <v>32</v>
      </c>
      <c r="P28" s="22">
        <f t="shared" si="0"/>
        <v>68</v>
      </c>
    </row>
    <row r="29" spans="1:16" ht="15.75" thickBot="1" x14ac:dyDescent="0.3">
      <c r="B29" s="5" t="s">
        <v>23</v>
      </c>
      <c r="C29" s="4">
        <f>C27-C28</f>
        <v>428530</v>
      </c>
      <c r="D29" s="5"/>
      <c r="E29" s="5"/>
      <c r="F29" s="5"/>
      <c r="G29" s="20">
        <v>25</v>
      </c>
      <c r="H29" s="21">
        <v>25</v>
      </c>
      <c r="I29" s="22">
        <v>75</v>
      </c>
      <c r="N29" s="20">
        <v>24</v>
      </c>
      <c r="O29" s="28">
        <v>33.5</v>
      </c>
      <c r="P29" s="22">
        <f t="shared" si="0"/>
        <v>66.5</v>
      </c>
    </row>
    <row r="30" spans="1:16" ht="15.75" thickBot="1" x14ac:dyDescent="0.3">
      <c r="B30" s="5" t="s">
        <v>24</v>
      </c>
      <c r="C30" s="44">
        <v>0.52</v>
      </c>
      <c r="D30" s="45">
        <f>1-C30</f>
        <v>0.48</v>
      </c>
      <c r="E30" s="5"/>
      <c r="F30" s="5"/>
      <c r="G30" s="20">
        <v>26</v>
      </c>
      <c r="H30" s="21">
        <v>26</v>
      </c>
      <c r="I30" s="22">
        <v>74</v>
      </c>
      <c r="N30" s="20">
        <v>25</v>
      </c>
      <c r="O30" s="28">
        <v>35</v>
      </c>
      <c r="P30" s="22">
        <f t="shared" si="0"/>
        <v>65</v>
      </c>
    </row>
    <row r="31" spans="1:16" ht="15.75" thickBot="1" x14ac:dyDescent="0.3">
      <c r="B31" s="46" t="s">
        <v>25</v>
      </c>
      <c r="C31" s="4">
        <f>ROUND(C29*D30,0)</f>
        <v>205694</v>
      </c>
      <c r="D31" s="47"/>
      <c r="E31" s="5"/>
      <c r="F31" s="5"/>
      <c r="G31" s="20">
        <v>27</v>
      </c>
      <c r="H31" s="21">
        <v>27</v>
      </c>
      <c r="I31" s="22">
        <v>73</v>
      </c>
      <c r="N31" s="20">
        <v>26</v>
      </c>
      <c r="O31" s="28">
        <v>36.5</v>
      </c>
      <c r="P31" s="22">
        <f t="shared" si="0"/>
        <v>63.5</v>
      </c>
    </row>
    <row r="32" spans="1:16" ht="15.75" thickBot="1" x14ac:dyDescent="0.3">
      <c r="A32" s="2"/>
      <c r="B32" s="5" t="s">
        <v>26</v>
      </c>
      <c r="C32" s="4">
        <f>C28+C31</f>
        <v>321064</v>
      </c>
      <c r="D32" s="5" t="s">
        <v>11</v>
      </c>
      <c r="E32" s="6">
        <f>ROUND(C32/10.764,0)</f>
        <v>29828</v>
      </c>
      <c r="F32" s="5" t="s">
        <v>12</v>
      </c>
      <c r="G32" s="20">
        <v>28</v>
      </c>
      <c r="H32" s="21">
        <v>28</v>
      </c>
      <c r="I32" s="22">
        <v>72</v>
      </c>
      <c r="N32" s="20">
        <v>27</v>
      </c>
      <c r="O32" s="28">
        <v>38</v>
      </c>
      <c r="P32" s="22">
        <f t="shared" si="0"/>
        <v>62</v>
      </c>
    </row>
    <row r="33" spans="1:16" ht="15.75" thickBot="1" x14ac:dyDescent="0.3">
      <c r="A33" s="2"/>
      <c r="C33" s="8"/>
      <c r="G33" s="20">
        <v>29</v>
      </c>
      <c r="H33" s="21">
        <v>29</v>
      </c>
      <c r="I33" s="22">
        <v>71</v>
      </c>
      <c r="N33" s="20">
        <v>28</v>
      </c>
      <c r="O33" s="28">
        <v>39.5</v>
      </c>
      <c r="P33" s="22">
        <f t="shared" si="0"/>
        <v>60.5</v>
      </c>
    </row>
    <row r="34" spans="1:16" ht="15.75" thickBot="1" x14ac:dyDescent="0.3">
      <c r="A34" s="2"/>
      <c r="B34" s="3" t="s">
        <v>13</v>
      </c>
      <c r="C34" s="10">
        <v>2024</v>
      </c>
      <c r="E34" s="9">
        <v>15645</v>
      </c>
      <c r="G34" s="20">
        <v>30</v>
      </c>
      <c r="H34" s="21">
        <v>30</v>
      </c>
      <c r="I34" s="22">
        <v>70</v>
      </c>
      <c r="N34" s="20">
        <v>29</v>
      </c>
      <c r="O34" s="28">
        <v>41</v>
      </c>
      <c r="P34" s="22">
        <f t="shared" si="0"/>
        <v>59</v>
      </c>
    </row>
    <row r="35" spans="1:16" ht="15.75" thickBot="1" x14ac:dyDescent="0.3">
      <c r="A35" s="2"/>
      <c r="B35" s="3" t="s">
        <v>14</v>
      </c>
      <c r="C35" s="10">
        <v>1972</v>
      </c>
      <c r="D35" s="9"/>
      <c r="E35" s="48">
        <f>E34*E32</f>
        <v>466659060</v>
      </c>
      <c r="G35" s="20">
        <v>31</v>
      </c>
      <c r="H35" s="21">
        <v>31</v>
      </c>
      <c r="I35" s="22">
        <v>69</v>
      </c>
      <c r="N35" s="20">
        <v>30</v>
      </c>
      <c r="O35" s="28">
        <v>42.5</v>
      </c>
      <c r="P35" s="22">
        <f t="shared" si="0"/>
        <v>57.5</v>
      </c>
    </row>
    <row r="36" spans="1:16" ht="15.75" thickBot="1" x14ac:dyDescent="0.3">
      <c r="A36" s="2"/>
      <c r="B36" s="3" t="s">
        <v>15</v>
      </c>
      <c r="C36" s="10">
        <f>C34-C35</f>
        <v>52</v>
      </c>
      <c r="E36" s="48">
        <f>E35*6%</f>
        <v>27999543.599999998</v>
      </c>
      <c r="G36" s="20">
        <v>32</v>
      </c>
      <c r="H36" s="21">
        <v>32</v>
      </c>
      <c r="I36" s="22">
        <v>68</v>
      </c>
      <c r="N36" s="20">
        <v>31</v>
      </c>
      <c r="O36" s="28">
        <v>44</v>
      </c>
      <c r="P36" s="22">
        <f t="shared" si="0"/>
        <v>56</v>
      </c>
    </row>
    <row r="37" spans="1:16" ht="17.25" thickBot="1" x14ac:dyDescent="0.35">
      <c r="A37" s="7"/>
      <c r="B37" s="40" t="s">
        <v>27</v>
      </c>
      <c r="C37" s="3">
        <f>60-C36</f>
        <v>8</v>
      </c>
      <c r="E37" s="48">
        <v>30000</v>
      </c>
      <c r="G37" s="20">
        <v>33</v>
      </c>
      <c r="H37" s="21">
        <v>33</v>
      </c>
      <c r="I37" s="22">
        <v>67</v>
      </c>
      <c r="N37" s="20">
        <v>32</v>
      </c>
      <c r="O37" s="28">
        <v>45.5</v>
      </c>
      <c r="P37" s="22">
        <f t="shared" si="0"/>
        <v>54.5</v>
      </c>
    </row>
    <row r="38" spans="1:16" ht="15.75" thickBot="1" x14ac:dyDescent="0.3">
      <c r="A38" s="2"/>
      <c r="E38" s="9">
        <f>E35+E37+E36</f>
        <v>494688603.60000002</v>
      </c>
      <c r="G38" s="20">
        <v>34</v>
      </c>
      <c r="H38" s="21">
        <v>34</v>
      </c>
      <c r="I38" s="22">
        <v>66</v>
      </c>
      <c r="N38" s="20">
        <v>33</v>
      </c>
      <c r="O38" s="28">
        <v>47</v>
      </c>
      <c r="P38" s="22">
        <f t="shared" si="0"/>
        <v>53</v>
      </c>
    </row>
    <row r="39" spans="1:16" ht="15.75" thickBot="1" x14ac:dyDescent="0.3">
      <c r="E39" s="48">
        <f>E38/E34</f>
        <v>31619.597545541706</v>
      </c>
      <c r="G39" s="20">
        <v>35</v>
      </c>
      <c r="H39" s="21">
        <v>35</v>
      </c>
      <c r="I39" s="22">
        <v>65</v>
      </c>
      <c r="N39" s="20">
        <v>34</v>
      </c>
      <c r="O39" s="28">
        <v>48.5</v>
      </c>
      <c r="P39" s="22">
        <f t="shared" si="0"/>
        <v>51.5</v>
      </c>
    </row>
    <row r="40" spans="1:16" ht="15.75" thickBot="1" x14ac:dyDescent="0.3">
      <c r="G40" s="20">
        <v>36</v>
      </c>
      <c r="H40" s="21">
        <v>36</v>
      </c>
      <c r="I40" s="22">
        <v>64</v>
      </c>
      <c r="N40" s="20">
        <v>35</v>
      </c>
      <c r="O40" s="28">
        <v>50</v>
      </c>
      <c r="P40" s="22">
        <f t="shared" si="0"/>
        <v>50</v>
      </c>
    </row>
    <row r="41" spans="1:16" ht="15.75" thickBot="1" x14ac:dyDescent="0.3">
      <c r="G41" s="20">
        <v>37</v>
      </c>
      <c r="H41" s="21">
        <v>37</v>
      </c>
      <c r="I41" s="22">
        <v>63</v>
      </c>
      <c r="N41" s="20">
        <v>36</v>
      </c>
      <c r="O41" s="28">
        <v>51.5</v>
      </c>
      <c r="P41" s="22">
        <f t="shared" si="0"/>
        <v>48.5</v>
      </c>
    </row>
    <row r="42" spans="1:16" ht="15.75" thickBot="1" x14ac:dyDescent="0.3">
      <c r="G42" s="20">
        <v>38</v>
      </c>
      <c r="H42" s="21">
        <v>38</v>
      </c>
      <c r="I42" s="22">
        <v>62</v>
      </c>
      <c r="N42" s="20">
        <v>37</v>
      </c>
      <c r="O42" s="28">
        <v>53</v>
      </c>
      <c r="P42" s="22">
        <f t="shared" si="0"/>
        <v>47</v>
      </c>
    </row>
    <row r="43" spans="1:16" ht="15.75" thickBot="1" x14ac:dyDescent="0.3">
      <c r="G43" s="20">
        <v>39</v>
      </c>
      <c r="H43" s="21">
        <v>39</v>
      </c>
      <c r="I43" s="22">
        <v>61</v>
      </c>
      <c r="N43" s="20">
        <v>38</v>
      </c>
      <c r="O43" s="28">
        <v>54.5</v>
      </c>
      <c r="P43" s="22">
        <f t="shared" si="0"/>
        <v>45.5</v>
      </c>
    </row>
    <row r="44" spans="1:16" ht="15.75" thickBot="1" x14ac:dyDescent="0.3">
      <c r="G44" s="20">
        <v>40</v>
      </c>
      <c r="H44" s="21">
        <v>40</v>
      </c>
      <c r="I44" s="22">
        <v>60</v>
      </c>
      <c r="N44" s="20">
        <v>39</v>
      </c>
      <c r="O44" s="28">
        <v>56</v>
      </c>
      <c r="P44" s="22">
        <f t="shared" si="0"/>
        <v>44</v>
      </c>
    </row>
    <row r="45" spans="1:16" ht="15.75" thickBot="1" x14ac:dyDescent="0.3">
      <c r="G45" s="20">
        <v>41</v>
      </c>
      <c r="H45" s="21">
        <v>41</v>
      </c>
      <c r="I45" s="22">
        <v>59</v>
      </c>
      <c r="N45" s="20">
        <v>40</v>
      </c>
      <c r="O45" s="28">
        <v>57.5</v>
      </c>
      <c r="P45" s="22">
        <f t="shared" si="0"/>
        <v>42.5</v>
      </c>
    </row>
    <row r="46" spans="1:16" ht="15.75" thickBot="1" x14ac:dyDescent="0.3">
      <c r="G46" s="20">
        <v>42</v>
      </c>
      <c r="H46" s="21">
        <v>42</v>
      </c>
      <c r="I46" s="22">
        <v>58</v>
      </c>
      <c r="N46" s="20">
        <v>41</v>
      </c>
      <c r="O46" s="28">
        <v>59</v>
      </c>
      <c r="P46" s="22">
        <f t="shared" si="0"/>
        <v>41</v>
      </c>
    </row>
    <row r="47" spans="1:16" ht="15.75" thickBot="1" x14ac:dyDescent="0.3">
      <c r="G47" s="20">
        <v>43</v>
      </c>
      <c r="H47" s="21">
        <v>43</v>
      </c>
      <c r="I47" s="22">
        <v>57</v>
      </c>
      <c r="N47" s="20">
        <v>42</v>
      </c>
      <c r="O47" s="28">
        <v>60.5</v>
      </c>
      <c r="P47" s="22">
        <f t="shared" si="0"/>
        <v>39.5</v>
      </c>
    </row>
    <row r="48" spans="1:16" ht="15.75" thickBot="1" x14ac:dyDescent="0.3">
      <c r="G48" s="20">
        <v>44</v>
      </c>
      <c r="H48" s="21">
        <v>44</v>
      </c>
      <c r="I48" s="22">
        <v>56</v>
      </c>
      <c r="N48" s="20">
        <v>43</v>
      </c>
      <c r="O48" s="28">
        <v>62</v>
      </c>
      <c r="P48" s="22">
        <f t="shared" si="0"/>
        <v>38</v>
      </c>
    </row>
    <row r="49" spans="7:16" ht="15.75" thickBot="1" x14ac:dyDescent="0.3">
      <c r="G49" s="20">
        <v>45</v>
      </c>
      <c r="H49" s="21">
        <v>45</v>
      </c>
      <c r="I49" s="22">
        <v>55</v>
      </c>
      <c r="N49" s="20">
        <v>44</v>
      </c>
      <c r="O49" s="28">
        <v>63.5</v>
      </c>
      <c r="P49" s="22">
        <f t="shared" si="0"/>
        <v>36.5</v>
      </c>
    </row>
    <row r="50" spans="7:16" ht="15.75" thickBot="1" x14ac:dyDescent="0.3">
      <c r="G50" s="20">
        <v>46</v>
      </c>
      <c r="H50" s="21">
        <v>46</v>
      </c>
      <c r="I50" s="22">
        <v>54</v>
      </c>
      <c r="N50" s="20">
        <v>45</v>
      </c>
      <c r="O50" s="28">
        <v>65</v>
      </c>
      <c r="P50" s="22">
        <f t="shared" si="0"/>
        <v>35</v>
      </c>
    </row>
    <row r="51" spans="7:16" ht="15.75" thickBot="1" x14ac:dyDescent="0.3">
      <c r="G51" s="20">
        <v>47</v>
      </c>
      <c r="H51" s="21">
        <v>47</v>
      </c>
      <c r="I51" s="22">
        <v>53</v>
      </c>
      <c r="N51" s="20">
        <v>46</v>
      </c>
      <c r="O51" s="28">
        <v>66.5</v>
      </c>
      <c r="P51" s="22">
        <f t="shared" si="0"/>
        <v>33.5</v>
      </c>
    </row>
    <row r="52" spans="7:16" ht="15.75" thickBot="1" x14ac:dyDescent="0.3">
      <c r="G52" s="20">
        <v>48</v>
      </c>
      <c r="H52" s="21">
        <v>48</v>
      </c>
      <c r="I52" s="22">
        <v>52</v>
      </c>
      <c r="N52" s="20">
        <v>47</v>
      </c>
      <c r="O52" s="28">
        <v>68</v>
      </c>
      <c r="P52" s="22">
        <f t="shared" si="0"/>
        <v>32</v>
      </c>
    </row>
    <row r="53" spans="7:16" ht="15.75" thickBot="1" x14ac:dyDescent="0.3">
      <c r="G53" s="20">
        <v>49</v>
      </c>
      <c r="H53" s="21">
        <v>49</v>
      </c>
      <c r="I53" s="22">
        <v>51</v>
      </c>
      <c r="N53" s="20">
        <v>48</v>
      </c>
      <c r="O53" s="28">
        <v>69.5</v>
      </c>
      <c r="P53" s="22">
        <f t="shared" si="0"/>
        <v>30.5</v>
      </c>
    </row>
    <row r="54" spans="7:16" ht="15.75" thickBot="1" x14ac:dyDescent="0.3">
      <c r="G54" s="20">
        <v>50</v>
      </c>
      <c r="H54" s="21">
        <v>50</v>
      </c>
      <c r="I54" s="22">
        <v>50</v>
      </c>
      <c r="N54" s="20">
        <v>49</v>
      </c>
      <c r="O54" s="28">
        <v>71</v>
      </c>
      <c r="P54" s="22">
        <f t="shared" si="0"/>
        <v>29</v>
      </c>
    </row>
    <row r="55" spans="7:16" ht="15.75" thickBot="1" x14ac:dyDescent="0.3">
      <c r="G55" s="20">
        <v>51</v>
      </c>
      <c r="H55" s="21">
        <v>51</v>
      </c>
      <c r="I55" s="22">
        <v>49</v>
      </c>
      <c r="N55" s="20">
        <v>50</v>
      </c>
      <c r="O55" s="28">
        <v>72.5</v>
      </c>
      <c r="P55" s="22">
        <f t="shared" si="0"/>
        <v>27.5</v>
      </c>
    </row>
    <row r="56" spans="7:16" ht="15.75" thickBot="1" x14ac:dyDescent="0.3">
      <c r="G56" s="20">
        <v>52</v>
      </c>
      <c r="H56" s="21">
        <v>52</v>
      </c>
      <c r="I56" s="22">
        <v>48</v>
      </c>
      <c r="N56" s="20">
        <v>51</v>
      </c>
      <c r="O56" s="28">
        <v>74</v>
      </c>
      <c r="P56" s="22">
        <f t="shared" si="0"/>
        <v>26</v>
      </c>
    </row>
    <row r="57" spans="7:16" ht="15.75" thickBot="1" x14ac:dyDescent="0.3">
      <c r="G57" s="20">
        <v>53</v>
      </c>
      <c r="H57" s="21">
        <v>53</v>
      </c>
      <c r="I57" s="22">
        <v>47</v>
      </c>
      <c r="N57" s="20">
        <v>52</v>
      </c>
      <c r="O57" s="28">
        <v>75.5</v>
      </c>
      <c r="P57" s="22">
        <f t="shared" si="0"/>
        <v>24.5</v>
      </c>
    </row>
    <row r="58" spans="7:16" ht="15.75" thickBot="1" x14ac:dyDescent="0.3">
      <c r="G58" s="20">
        <v>54</v>
      </c>
      <c r="H58" s="21">
        <v>54</v>
      </c>
      <c r="I58" s="22">
        <v>46</v>
      </c>
      <c r="N58" s="20">
        <v>53</v>
      </c>
      <c r="O58" s="28">
        <v>77</v>
      </c>
      <c r="P58" s="22">
        <f t="shared" si="0"/>
        <v>23</v>
      </c>
    </row>
    <row r="59" spans="7:16" ht="15.75" thickBot="1" x14ac:dyDescent="0.3">
      <c r="G59" s="20">
        <v>55</v>
      </c>
      <c r="H59" s="21">
        <v>55</v>
      </c>
      <c r="I59" s="22">
        <v>45</v>
      </c>
      <c r="N59" s="20">
        <v>54</v>
      </c>
      <c r="O59" s="28">
        <v>78.5</v>
      </c>
      <c r="P59" s="22">
        <f t="shared" si="0"/>
        <v>21.5</v>
      </c>
    </row>
    <row r="60" spans="7:16" ht="15.75" thickBot="1" x14ac:dyDescent="0.3">
      <c r="G60" s="20">
        <v>56</v>
      </c>
      <c r="H60" s="21">
        <v>56</v>
      </c>
      <c r="I60" s="22">
        <v>44</v>
      </c>
      <c r="N60" s="20">
        <v>55</v>
      </c>
      <c r="O60" s="28">
        <v>80</v>
      </c>
      <c r="P60" s="22">
        <f t="shared" si="0"/>
        <v>20</v>
      </c>
    </row>
    <row r="61" spans="7:16" ht="15.75" thickBot="1" x14ac:dyDescent="0.3">
      <c r="G61" s="20">
        <v>57</v>
      </c>
      <c r="H61" s="21">
        <v>57</v>
      </c>
      <c r="I61" s="22">
        <v>43</v>
      </c>
      <c r="N61" s="20">
        <v>56</v>
      </c>
      <c r="O61" s="28">
        <v>81.5</v>
      </c>
      <c r="P61" s="22">
        <f t="shared" si="0"/>
        <v>18.5</v>
      </c>
    </row>
    <row r="62" spans="7:16" ht="15.75" thickBot="1" x14ac:dyDescent="0.3">
      <c r="G62" s="20">
        <v>58</v>
      </c>
      <c r="H62" s="21">
        <v>58</v>
      </c>
      <c r="I62" s="22">
        <v>42</v>
      </c>
      <c r="N62" s="20">
        <v>57</v>
      </c>
      <c r="O62" s="28">
        <v>83</v>
      </c>
      <c r="P62" s="22">
        <f t="shared" si="0"/>
        <v>17</v>
      </c>
    </row>
    <row r="63" spans="7:16" ht="15.75" thickBot="1" x14ac:dyDescent="0.3">
      <c r="G63" s="20">
        <v>59</v>
      </c>
      <c r="H63" s="21">
        <v>59</v>
      </c>
      <c r="I63" s="22">
        <v>41</v>
      </c>
      <c r="N63" s="20">
        <v>58</v>
      </c>
      <c r="O63" s="28">
        <v>84.5</v>
      </c>
      <c r="P63" s="22">
        <f t="shared" si="0"/>
        <v>15.5</v>
      </c>
    </row>
    <row r="64" spans="7:16" ht="15.75" thickBot="1" x14ac:dyDescent="0.3">
      <c r="G64" s="20">
        <v>60</v>
      </c>
      <c r="H64" s="21">
        <v>60</v>
      </c>
      <c r="I64" s="22">
        <v>40</v>
      </c>
      <c r="N64" s="20">
        <v>59</v>
      </c>
      <c r="O64" s="28">
        <v>85</v>
      </c>
      <c r="P64" s="34">
        <f t="shared" si="0"/>
        <v>14</v>
      </c>
    </row>
    <row r="65" spans="7:15" ht="15.75" thickBot="1" x14ac:dyDescent="0.3">
      <c r="G65" s="20">
        <v>61</v>
      </c>
      <c r="H65" s="21">
        <v>61</v>
      </c>
      <c r="I65" s="22">
        <v>39</v>
      </c>
      <c r="N65" s="20">
        <v>60</v>
      </c>
    </row>
    <row r="66" spans="7:15" ht="15.75" thickBot="1" x14ac:dyDescent="0.3">
      <c r="G66" s="20">
        <v>62</v>
      </c>
      <c r="H66" s="21">
        <v>62</v>
      </c>
      <c r="I66" s="22">
        <v>38</v>
      </c>
      <c r="N66" s="20">
        <v>61</v>
      </c>
      <c r="O66" s="41"/>
    </row>
    <row r="67" spans="7:15" ht="15.75" thickBot="1" x14ac:dyDescent="0.3">
      <c r="G67" s="20">
        <v>63</v>
      </c>
      <c r="H67" s="21">
        <v>63</v>
      </c>
      <c r="I67" s="22">
        <v>37</v>
      </c>
      <c r="N67" s="20">
        <v>62</v>
      </c>
      <c r="O67" s="41"/>
    </row>
    <row r="68" spans="7:15" ht="15.75" thickBot="1" x14ac:dyDescent="0.3">
      <c r="G68" s="20">
        <v>64</v>
      </c>
      <c r="H68" s="21">
        <v>64</v>
      </c>
      <c r="I68" s="22">
        <v>36</v>
      </c>
      <c r="N68" s="20">
        <v>63</v>
      </c>
      <c r="O68" s="41"/>
    </row>
    <row r="69" spans="7:15" ht="15.75" thickBot="1" x14ac:dyDescent="0.3">
      <c r="G69" s="20">
        <v>65</v>
      </c>
      <c r="H69" s="21">
        <v>65</v>
      </c>
      <c r="I69" s="22">
        <v>35</v>
      </c>
      <c r="N69" s="20">
        <v>64</v>
      </c>
      <c r="O69" s="41"/>
    </row>
    <row r="70" spans="7:15" ht="15.75" thickBot="1" x14ac:dyDescent="0.3">
      <c r="G70" s="20">
        <v>66</v>
      </c>
      <c r="H70" s="21">
        <v>66</v>
      </c>
      <c r="I70" s="22">
        <v>34</v>
      </c>
      <c r="N70" s="20">
        <v>65</v>
      </c>
      <c r="O70" s="41"/>
    </row>
    <row r="71" spans="7:15" ht="15.75" thickBot="1" x14ac:dyDescent="0.3">
      <c r="G71" s="20">
        <v>67</v>
      </c>
      <c r="H71" s="21">
        <v>67</v>
      </c>
      <c r="I71" s="22">
        <v>33</v>
      </c>
      <c r="N71" s="20">
        <v>66</v>
      </c>
      <c r="O71" s="41"/>
    </row>
    <row r="72" spans="7:15" ht="15.75" thickBot="1" x14ac:dyDescent="0.3">
      <c r="G72" s="20">
        <v>68</v>
      </c>
      <c r="H72" s="21">
        <v>68</v>
      </c>
      <c r="I72" s="22">
        <v>32</v>
      </c>
      <c r="N72" s="20">
        <v>67</v>
      </c>
      <c r="O72" s="41"/>
    </row>
    <row r="73" spans="7:15" ht="15.75" thickBot="1" x14ac:dyDescent="0.3">
      <c r="G73" s="20">
        <v>69</v>
      </c>
      <c r="H73" s="21">
        <v>69</v>
      </c>
      <c r="I73" s="22">
        <v>31</v>
      </c>
      <c r="N73" s="20">
        <v>68</v>
      </c>
      <c r="O73" s="41"/>
    </row>
    <row r="74" spans="7:15" ht="15.75" thickBot="1" x14ac:dyDescent="0.3">
      <c r="G74" s="20">
        <v>70</v>
      </c>
      <c r="H74" s="21">
        <v>70</v>
      </c>
      <c r="I74" s="34">
        <v>30</v>
      </c>
      <c r="N74" s="20">
        <v>69</v>
      </c>
      <c r="O74" s="41"/>
    </row>
    <row r="75" spans="7:15" ht="15.75" thickBot="1" x14ac:dyDescent="0.3">
      <c r="I75" s="43"/>
      <c r="N75" s="20">
        <v>70</v>
      </c>
      <c r="O75" s="41"/>
    </row>
    <row r="76" spans="7:15" ht="15.75" thickBot="1" x14ac:dyDescent="0.3">
      <c r="N76" s="20"/>
      <c r="O76" s="41"/>
    </row>
  </sheetData>
  <mergeCells count="1">
    <mergeCell ref="G2:H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E997-9B25-487A-A02B-19201E3543FD}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5E9C-35A1-419C-9859-97F157E7A5A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ACC26-DA97-4B82-B2AA-6DF34C338994}">
  <dimension ref="A1:H11"/>
  <sheetViews>
    <sheetView workbookViewId="0">
      <selection activeCell="B10" sqref="B10"/>
    </sheetView>
  </sheetViews>
  <sheetFormatPr defaultRowHeight="15" x14ac:dyDescent="0.25"/>
  <cols>
    <col min="1" max="1" width="6.85546875" bestFit="1" customWidth="1"/>
    <col min="2" max="2" width="43.85546875" bestFit="1" customWidth="1"/>
    <col min="3" max="3" width="10.140625" bestFit="1" customWidth="1"/>
    <col min="4" max="4" width="19.7109375" bestFit="1" customWidth="1"/>
    <col min="5" max="5" width="20.85546875" bestFit="1" customWidth="1"/>
    <col min="6" max="6" width="21.140625" bestFit="1" customWidth="1"/>
    <col min="7" max="7" width="27.85546875" bestFit="1" customWidth="1"/>
    <col min="8" max="8" width="10" bestFit="1" customWidth="1"/>
  </cols>
  <sheetData>
    <row r="1" spans="1:8" x14ac:dyDescent="0.25">
      <c r="A1" t="s">
        <v>28</v>
      </c>
      <c r="B1" t="s">
        <v>75</v>
      </c>
      <c r="C1" t="s">
        <v>29</v>
      </c>
      <c r="D1" t="s">
        <v>36</v>
      </c>
      <c r="E1" t="s">
        <v>76</v>
      </c>
      <c r="F1" t="s">
        <v>77</v>
      </c>
      <c r="G1" t="s">
        <v>78</v>
      </c>
    </row>
    <row r="2" spans="1:8" x14ac:dyDescent="0.25">
      <c r="A2">
        <v>1</v>
      </c>
      <c r="B2" t="s">
        <v>79</v>
      </c>
      <c r="C2" t="s">
        <v>80</v>
      </c>
      <c r="D2" s="48"/>
      <c r="E2" s="48">
        <v>15645</v>
      </c>
      <c r="G2" s="48">
        <v>269094000</v>
      </c>
      <c r="H2" s="48">
        <f>G2/E2</f>
        <v>17200</v>
      </c>
    </row>
    <row r="3" spans="1:8" x14ac:dyDescent="0.25">
      <c r="A3">
        <v>2</v>
      </c>
      <c r="B3" t="s">
        <v>81</v>
      </c>
      <c r="C3" t="s">
        <v>82</v>
      </c>
      <c r="D3" s="48">
        <f>1314.41*10.764</f>
        <v>14148.309240000001</v>
      </c>
      <c r="E3" s="48"/>
      <c r="H3" s="48"/>
    </row>
    <row r="4" spans="1:8" x14ac:dyDescent="0.25">
      <c r="A4">
        <v>3</v>
      </c>
      <c r="B4" t="s">
        <v>83</v>
      </c>
      <c r="C4" t="s">
        <v>84</v>
      </c>
      <c r="D4" s="48">
        <v>2569</v>
      </c>
      <c r="E4" s="48"/>
      <c r="G4" s="48" t="s">
        <v>85</v>
      </c>
      <c r="H4" s="48"/>
    </row>
    <row r="5" spans="1:8" x14ac:dyDescent="0.25">
      <c r="A5">
        <v>4</v>
      </c>
      <c r="B5" t="s">
        <v>86</v>
      </c>
      <c r="C5" t="s">
        <v>84</v>
      </c>
      <c r="D5" s="48">
        <v>10831</v>
      </c>
      <c r="E5" s="48"/>
      <c r="G5" s="48" t="s">
        <v>85</v>
      </c>
    </row>
    <row r="6" spans="1:8" x14ac:dyDescent="0.25">
      <c r="D6" s="48"/>
      <c r="E6" s="48">
        <v>30000</v>
      </c>
    </row>
    <row r="7" spans="1:8" x14ac:dyDescent="0.25">
      <c r="D7" s="48"/>
      <c r="E7" s="48">
        <f>E6*E2</f>
        <v>469350000</v>
      </c>
    </row>
    <row r="8" spans="1:8" x14ac:dyDescent="0.25">
      <c r="D8" s="48"/>
      <c r="E8" s="48"/>
    </row>
    <row r="9" spans="1:8" x14ac:dyDescent="0.25">
      <c r="D9" s="48"/>
      <c r="E9" s="48"/>
    </row>
    <row r="10" spans="1:8" x14ac:dyDescent="0.25">
      <c r="D10" s="48"/>
      <c r="E10" s="48"/>
    </row>
    <row r="11" spans="1:8" x14ac:dyDescent="0.25">
      <c r="D11" s="48"/>
      <c r="E11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Calculation VCIPL</vt:lpstr>
      <vt:lpstr>Rent Calculation</vt:lpstr>
      <vt:lpstr>IGR</vt:lpstr>
      <vt:lpstr>Depreciation (2)</vt:lpstr>
      <vt:lpstr>RR</vt:lpstr>
      <vt:lpstr>Sheet4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</cp:lastModifiedBy>
  <cp:lastPrinted>2019-11-05T06:14:02Z</cp:lastPrinted>
  <dcterms:created xsi:type="dcterms:W3CDTF">2018-02-17T10:36:41Z</dcterms:created>
  <dcterms:modified xsi:type="dcterms:W3CDTF">2024-07-31T11:57:20Z</dcterms:modified>
</cp:coreProperties>
</file>