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Making Cases\Refking Cottsoya Private Ltd\Plot No. A – 17 – Jalna - Refkings Cottsoya Pvt. Ltd\"/>
    </mc:Choice>
  </mc:AlternateContent>
  <xr:revisionPtr revIDLastSave="0" documentId="13_ncr:1_{B16A625F-7E25-4F86-81DA-34CB08983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  <sheet name="Sheet2" sheetId="4" r:id="rId3"/>
    <sheet name="Sheet3" sheetId="5" r:id="rId4"/>
  </sheets>
  <definedNames>
    <definedName name="_Hlk169790212" localSheetId="0">Valuation!$I$33</definedName>
  </definedNames>
  <calcPr calcId="191029"/>
</workbook>
</file>

<file path=xl/calcChain.xml><?xml version="1.0" encoding="utf-8"?>
<calcChain xmlns="http://schemas.openxmlformats.org/spreadsheetml/2006/main">
  <c r="L3" i="2" l="1"/>
  <c r="Q12" i="2"/>
  <c r="Q11" i="2"/>
  <c r="Q9" i="2"/>
  <c r="Q8" i="2"/>
  <c r="F16" i="2"/>
  <c r="K27" i="2"/>
  <c r="C13" i="2"/>
  <c r="O12" i="2"/>
  <c r="H12" i="2"/>
  <c r="J12" i="2" s="1"/>
  <c r="K12" i="2" s="1"/>
  <c r="L12" i="2" s="1"/>
  <c r="N12" i="2" s="1"/>
  <c r="O11" i="2"/>
  <c r="H11" i="2"/>
  <c r="J11" i="2" s="1"/>
  <c r="K11" i="2" s="1"/>
  <c r="L11" i="2" s="1"/>
  <c r="N11" i="2" s="1"/>
  <c r="O10" i="2"/>
  <c r="H10" i="2"/>
  <c r="J10" i="2" s="1"/>
  <c r="K10" i="2" s="1"/>
  <c r="L10" i="2" s="1"/>
  <c r="N10" i="2" s="1"/>
  <c r="Q10" i="2" s="1"/>
  <c r="Q13" i="2" s="1"/>
  <c r="C27" i="2" s="1"/>
  <c r="O9" i="2"/>
  <c r="H9" i="2"/>
  <c r="J9" i="2" s="1"/>
  <c r="K9" i="2" s="1"/>
  <c r="L9" i="2" s="1"/>
  <c r="N9" i="2" s="1"/>
  <c r="O8" i="2"/>
  <c r="H8" i="2"/>
  <c r="J8" i="2" s="1"/>
  <c r="K8" i="2" s="1"/>
  <c r="L8" i="2" s="1"/>
  <c r="N8" i="2" s="1"/>
  <c r="H16" i="2"/>
  <c r="O56" i="2"/>
  <c r="O55" i="2"/>
  <c r="O57" i="2" s="1"/>
  <c r="O54" i="2"/>
  <c r="O50" i="2"/>
  <c r="O49" i="2"/>
  <c r="O51" i="2" s="1"/>
  <c r="K43" i="2"/>
  <c r="K41" i="2"/>
  <c r="J57" i="2"/>
  <c r="F2" i="2"/>
  <c r="I3" i="2"/>
  <c r="M9" i="2" l="1"/>
  <c r="M11" i="2"/>
  <c r="M8" i="2"/>
  <c r="M10" i="2"/>
  <c r="M12" i="2"/>
  <c r="I8" i="2"/>
  <c r="I9" i="2"/>
  <c r="I10" i="2"/>
  <c r="I11" i="2"/>
  <c r="I12" i="2"/>
  <c r="C23" i="2"/>
  <c r="C29" i="2" s="1"/>
  <c r="C18" i="2"/>
  <c r="C28" i="2" s="1"/>
  <c r="C4" i="2"/>
  <c r="C26" i="2" s="1"/>
  <c r="J2" i="2"/>
  <c r="L2" i="2" s="1"/>
  <c r="O13" i="2" l="1"/>
  <c r="N13" i="2" l="1"/>
  <c r="C33" i="2" s="1"/>
  <c r="M13" i="2"/>
  <c r="L4" i="2" l="1"/>
  <c r="C30" i="2"/>
  <c r="C32" i="2" l="1"/>
  <c r="C31" i="2"/>
  <c r="P2" i="2"/>
  <c r="R2" i="2" s="1"/>
  <c r="P3" i="2"/>
  <c r="P4" i="2"/>
  <c r="R4" i="2" s="1"/>
  <c r="R3" i="2" l="1"/>
</calcChain>
</file>

<file path=xl/sharedStrings.xml><?xml version="1.0" encoding="utf-8"?>
<sst xmlns="http://schemas.openxmlformats.org/spreadsheetml/2006/main" count="89" uniqueCount="65">
  <si>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</si>
  <si>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</si>
  <si>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</si>
  <si>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</si>
  <si>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</si>
  <si>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</si>
  <si>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</si>
  <si>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</si>
  <si>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</si>
  <si>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</si>
  <si>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</si>
  <si>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</si>
  <si>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</si>
  <si>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</si>
  <si>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</si>
  <si>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</si>
  <si>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</si>
  <si>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</si>
  <si>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</si>
  <si>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</si>
  <si>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</si>
  <si>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Government value</t>
  </si>
  <si>
    <t>Depreciation</t>
  </si>
  <si>
    <t>Particulars</t>
  </si>
  <si>
    <t>Balance Life of Structures in Years</t>
  </si>
  <si>
    <t xml:space="preserve">Built Up Area </t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</si>
  <si>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</si>
  <si>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</si>
  <si>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</si>
  <si>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</si>
  <si>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</si>
  <si>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</si>
  <si>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</si>
  <si>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</si>
  <si>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(Sq. M. / Sq. Ft.)</t>
  </si>
  <si>
    <t>Estimated Replacement Cost</t>
  </si>
  <si>
    <t xml:space="preserve">Depreciated Replacement Cost </t>
  </si>
  <si>
    <t xml:space="preserve">Depreciated Replacement Value </t>
  </si>
  <si>
    <t>Replacement Value</t>
  </si>
  <si>
    <r>
      <t>Insurable value (Depreciated Replacement Value (</t>
    </r>
    <r>
      <rPr>
        <b/>
        <sz val="11"/>
        <color theme="1"/>
        <rFont val="Rupee Foradian"/>
        <family val="2"/>
      </rPr>
      <t xml:space="preserve">` </t>
    </r>
    <r>
      <rPr>
        <b/>
        <sz val="11"/>
        <color theme="1"/>
        <rFont val="Arial Narrow"/>
        <family val="2"/>
      </rPr>
      <t>3,34,62,049.00) - Subsoil Structure Cost (15%)</t>
    </r>
  </si>
  <si>
    <t>Age Of Build</t>
  </si>
  <si>
    <t>(Years)</t>
  </si>
  <si>
    <r>
      <t>(</t>
    </r>
    <r>
      <rPr>
        <b/>
        <sz val="10.5"/>
        <rFont val="Rupee Foradian"/>
        <family val="2"/>
      </rPr>
      <t>`</t>
    </r>
    <r>
      <rPr>
        <b/>
        <sz val="10.5"/>
        <rFont val="Calibri"/>
        <family val="2"/>
      </rPr>
      <t>)</t>
    </r>
  </si>
  <si>
    <r>
      <t>(</t>
    </r>
    <r>
      <rPr>
        <b/>
        <sz val="10.5"/>
        <color rgb="FFFF0000"/>
        <rFont val="Rupee Foradian"/>
        <family val="2"/>
      </rPr>
      <t>`</t>
    </r>
    <r>
      <rPr>
        <b/>
        <sz val="10.5"/>
        <color rgb="FFFF0000"/>
        <rFont val="Calibri"/>
        <family val="2"/>
      </rPr>
      <t>)</t>
    </r>
  </si>
  <si>
    <t>Structure</t>
  </si>
  <si>
    <t>Floor</t>
  </si>
  <si>
    <t>FSI Built up Area in Sq. M.</t>
  </si>
  <si>
    <t>Double Height FSI Area in Sq. M.</t>
  </si>
  <si>
    <t>Staircase</t>
  </si>
  <si>
    <t>Lift</t>
  </si>
  <si>
    <t xml:space="preserve">Total Approved Area in </t>
  </si>
  <si>
    <t>Sq. M.</t>
  </si>
  <si>
    <t>Refinery Shed</t>
  </si>
  <si>
    <t>Ground Floor</t>
  </si>
  <si>
    <t>First Floor</t>
  </si>
  <si>
    <t>Second Floor</t>
  </si>
  <si>
    <t>Boiler House</t>
  </si>
  <si>
    <t>Total</t>
  </si>
  <si>
    <t>As per approved plan</t>
  </si>
  <si>
    <t>As per previous valuation report</t>
  </si>
  <si>
    <t xml:space="preserve">Office Building </t>
  </si>
  <si>
    <t>Packing Godown</t>
  </si>
  <si>
    <t>Open Shed</t>
  </si>
  <si>
    <t>Existing Area</t>
  </si>
  <si>
    <t>Unshown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</si>
</sst>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sz val="10.5"/>
      <color theme="1"/>
      <name val="Arial Narrow"/>
      <family val="2"/>
    </font>
    <font>
      <b/>
      <sz val="10.5"/>
      <color rgb="FFFF0000"/>
      <name val="Arial Narrow"/>
      <family val="2"/>
    </font>
    <font>
      <b/>
      <sz val="10.5"/>
      <name val="Arial Narrow"/>
      <family val="2"/>
    </font>
    <font>
      <b/>
      <sz val="10.5"/>
      <color rgb="FFFF0000"/>
      <name val="Calibri"/>
      <family val="2"/>
    </font>
    <font>
      <b/>
      <sz val="10.5"/>
      <name val="Calibri"/>
      <family val="2"/>
    </font>
    <font>
      <b/>
      <sz val="10.5"/>
      <name val="Rupee Foradian"/>
      <family val="2"/>
    </font>
    <font>
      <b/>
      <sz val="10.5"/>
      <color rgb="FFFF0000"/>
      <name val="Rupee Foradian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3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3" fontId="7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/>
    </xf>
    <xf numFmtId="3" fontId="21" fillId="0" borderId="1" xfId="0" applyNumberFormat="1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3" fontId="18" fillId="0" borderId="1" xfId="0" applyNumberFormat="1" applyFont="1" applyBorder="1" applyAlignment="1">
      <alignment vertical="top"/>
    </xf>
    <xf numFmtId="43" fontId="22" fillId="2" borderId="8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43" fontId="22" fillId="2" borderId="9" xfId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6" fillId="0" borderId="9" xfId="1" applyFont="1" applyBorder="1" applyAlignment="1">
      <alignment horizontal="right" vertical="center"/>
    </xf>
    <xf numFmtId="43" fontId="19" fillId="0" borderId="9" xfId="1" applyFont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 wrapText="1"/>
    </xf>
    <xf numFmtId="43" fontId="23" fillId="0" borderId="9" xfId="1" applyFont="1" applyBorder="1" applyAlignment="1">
      <alignment horizontal="right" vertical="center"/>
    </xf>
    <xf numFmtId="43" fontId="22" fillId="0" borderId="9" xfId="1" applyFont="1" applyBorder="1" applyAlignment="1">
      <alignment horizontal="right" vertical="center" wrapText="1"/>
    </xf>
    <xf numFmtId="43" fontId="3" fillId="0" borderId="0" xfId="1" applyFont="1"/>
    <xf numFmtId="43" fontId="1" fillId="0" borderId="0" xfId="1" applyFont="1"/>
    <xf numFmtId="43" fontId="8" fillId="0" borderId="0" xfId="1" applyFont="1" applyAlignment="1">
      <alignment horizontal="left" vertical="top" wrapText="1"/>
    </xf>
    <xf numFmtId="43" fontId="1" fillId="0" borderId="0" xfId="1" applyFont="1" applyAlignment="1">
      <alignment horizontal="right" vertical="top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/>
    <xf numFmtId="43" fontId="8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3" fontId="6" fillId="0" borderId="0" xfId="1" applyFont="1"/>
    <xf numFmtId="43" fontId="1" fillId="0" borderId="0" xfId="0" applyNumberFormat="1" applyFont="1"/>
    <xf numFmtId="0" fontId="8" fillId="0" borderId="0" xfId="0" applyFont="1"/>
    <xf numFmtId="43" fontId="3" fillId="0" borderId="0" xfId="0" applyNumberFormat="1" applyFont="1"/>
    <xf numFmtId="43" fontId="18" fillId="0" borderId="1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21" fillId="0" borderId="1" xfId="1" applyFont="1" applyBorder="1" applyAlignment="1">
      <alignment vertical="top"/>
    </xf>
    <xf numFmtId="43" fontId="22" fillId="2" borderId="6" xfId="1" applyFont="1" applyFill="1" applyBorder="1" applyAlignment="1">
      <alignment horizontal="center" vertical="center" wrapText="1"/>
    </xf>
    <xf numFmtId="43" fontId="2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134900</xdr:colOff>
      <xdr:row>38</xdr:row>
      <xdr:rowOff>115326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AFD0B-F765-1BD9-F90B-1B70D90F9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07700" cy="735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505916</xdr:colOff>
      <xdr:row>42</xdr:row>
      <xdr:rowOff>182117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FF5A48-7DCF-58EB-D426-4921E7CA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21116" cy="8183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C33" sqref="C33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7" width="13.85546875" style="5" bestFit="1" customWidth="1"/>
    <col min="8" max="8" width="15.28515625" style="5" bestFit="1" customWidth="1"/>
    <col min="9" max="9" width="15.28515625" style="5" customWidth="1"/>
    <col min="10" max="10" width="13.85546875" style="1" bestFit="1" customWidth="1"/>
    <col min="11" max="11" width="15.42578125" style="5" bestFit="1" customWidth="1"/>
    <col min="12" max="12" width="14.140625" style="1" customWidth="1"/>
    <col min="13" max="13" width="13.28515625" style="5" bestFit="1" customWidth="1"/>
    <col min="14" max="14" width="14.85546875" style="5" customWidth="1"/>
    <col min="15" max="15" width="14.85546875" style="5" bestFit="1" customWidth="1"/>
    <col min="16" max="16" width="13.7109375" style="1" bestFit="1" customWidth="1"/>
    <col min="17" max="17" width="14.7109375" style="1" bestFit="1" customWidth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0" t="s">
        <v>12</v>
      </c>
      <c r="E1" s="1" t="s">
        <v>32</v>
      </c>
      <c r="F1" s="5" t="s">
        <v>33</v>
      </c>
      <c r="H1" s="5" t="s">
        <v>31</v>
      </c>
      <c r="K1" s="5" t="s">
        <v>21</v>
      </c>
      <c r="O1" s="5" t="s">
        <v>26</v>
      </c>
      <c r="R1" s="5" t="s">
        <v>26</v>
      </c>
    </row>
    <row r="2" spans="1:19" x14ac:dyDescent="0.3">
      <c r="B2" s="20" t="s">
        <v>10</v>
      </c>
      <c r="C2" s="43">
        <v>7200</v>
      </c>
      <c r="D2" s="5" t="s">
        <v>32</v>
      </c>
      <c r="E2" s="4">
        <v>0</v>
      </c>
      <c r="F2" s="4">
        <f>MROUND(E2*10.764,1)</f>
        <v>0</v>
      </c>
      <c r="G2" s="22"/>
      <c r="H2" s="1" t="s">
        <v>32</v>
      </c>
      <c r="I2" s="43">
        <v>0</v>
      </c>
      <c r="J2" s="43">
        <f>C2</f>
        <v>7200</v>
      </c>
      <c r="K2" s="43">
        <v>700</v>
      </c>
      <c r="L2" s="37">
        <f>J2*K2</f>
        <v>5040000</v>
      </c>
      <c r="O2" s="40" t="s">
        <v>28</v>
      </c>
      <c r="P2" s="41">
        <f>C30</f>
        <v>107496846</v>
      </c>
      <c r="R2" s="17">
        <f>P2*0.025/12</f>
        <v>223951.76250000004</v>
      </c>
      <c r="S2" s="15" t="s">
        <v>27</v>
      </c>
    </row>
    <row r="3" spans="1:19" x14ac:dyDescent="0.3">
      <c r="B3" s="21" t="s">
        <v>5</v>
      </c>
      <c r="C3" s="15">
        <v>5500</v>
      </c>
      <c r="D3" s="12"/>
      <c r="E3" s="23"/>
      <c r="F3" s="23"/>
      <c r="G3" s="12"/>
      <c r="H3" s="1" t="s">
        <v>33</v>
      </c>
      <c r="I3" s="43">
        <f>MROUND(I2/10.764,1)</f>
        <v>0</v>
      </c>
      <c r="J3" s="43"/>
      <c r="K3" s="37"/>
      <c r="L3" s="37">
        <f>Q13</f>
        <v>56896846</v>
      </c>
      <c r="O3" s="40" t="s">
        <v>28</v>
      </c>
      <c r="P3" s="41">
        <f>C30</f>
        <v>107496846</v>
      </c>
      <c r="Q3" s="5"/>
      <c r="R3" s="17">
        <f>P3*0.04/12</f>
        <v>358322.82</v>
      </c>
      <c r="S3" s="42" t="s">
        <v>29</v>
      </c>
    </row>
    <row r="4" spans="1:19" x14ac:dyDescent="0.3">
      <c r="B4" s="28" t="s">
        <v>15</v>
      </c>
      <c r="C4" s="37">
        <f>ROUND((C2*C3),0)</f>
        <v>39600000</v>
      </c>
      <c r="F4" s="19"/>
      <c r="G4" s="19"/>
      <c r="I4" s="37"/>
      <c r="J4" s="43"/>
      <c r="K4" s="37"/>
      <c r="L4" s="37">
        <f>SUM(L2:L3)</f>
        <v>61936846</v>
      </c>
      <c r="O4" s="40" t="s">
        <v>28</v>
      </c>
      <c r="P4" s="41">
        <f>C30</f>
        <v>107496846</v>
      </c>
      <c r="Q4" s="5"/>
      <c r="R4" s="17">
        <f>P4*0.033/12</f>
        <v>295616.32650000002</v>
      </c>
      <c r="S4" s="15" t="s">
        <v>30</v>
      </c>
    </row>
    <row r="5" spans="1:19" x14ac:dyDescent="0.3">
      <c r="B5" s="10" t="s">
        <v>13</v>
      </c>
    </row>
    <row r="6" spans="1:19" s="3" customFormat="1" ht="57" x14ac:dyDescent="0.2">
      <c r="A6" s="49" t="s">
        <v>20</v>
      </c>
      <c r="B6" s="50" t="s">
        <v>23</v>
      </c>
      <c r="C6" s="50" t="s">
        <v>25</v>
      </c>
      <c r="D6" s="50" t="s">
        <v>0</v>
      </c>
      <c r="E6" s="50" t="s">
        <v>1</v>
      </c>
      <c r="F6" s="50" t="s">
        <v>2</v>
      </c>
      <c r="G6" s="50" t="s">
        <v>35</v>
      </c>
      <c r="H6" s="51" t="s">
        <v>40</v>
      </c>
      <c r="I6" s="51" t="s">
        <v>24</v>
      </c>
      <c r="J6" s="52" t="s">
        <v>3</v>
      </c>
      <c r="K6" s="52" t="s">
        <v>4</v>
      </c>
      <c r="L6" s="51" t="s">
        <v>36</v>
      </c>
      <c r="M6" s="53" t="s">
        <v>22</v>
      </c>
      <c r="N6" s="53" t="s">
        <v>37</v>
      </c>
      <c r="O6" s="53" t="s">
        <v>38</v>
      </c>
    </row>
    <row r="7" spans="1:19" s="3" customFormat="1" ht="14.25" x14ac:dyDescent="0.2">
      <c r="A7" s="49"/>
      <c r="B7" s="50"/>
      <c r="C7" s="51" t="s">
        <v>34</v>
      </c>
      <c r="D7" s="50"/>
      <c r="E7" s="50"/>
      <c r="F7" s="50"/>
      <c r="G7" s="54" t="s">
        <v>42</v>
      </c>
      <c r="H7" s="48" t="s">
        <v>41</v>
      </c>
      <c r="I7" s="48" t="s">
        <v>41</v>
      </c>
      <c r="J7" s="52"/>
      <c r="K7" s="52"/>
      <c r="L7" s="52" t="s">
        <v>43</v>
      </c>
      <c r="M7" s="52" t="s">
        <v>43</v>
      </c>
      <c r="N7" s="52" t="s">
        <v>43</v>
      </c>
      <c r="O7" s="52" t="s">
        <v>43</v>
      </c>
    </row>
    <row r="8" spans="1:19" s="8" customFormat="1" x14ac:dyDescent="0.3">
      <c r="A8" s="55">
        <v>1</v>
      </c>
      <c r="B8" s="81" t="s">
        <v>52</v>
      </c>
      <c r="C8" s="79">
        <v>2033.14</v>
      </c>
      <c r="D8" s="8">
        <v>2016</v>
      </c>
      <c r="E8" s="56">
        <v>2024</v>
      </c>
      <c r="F8" s="56">
        <v>50</v>
      </c>
      <c r="G8" s="57">
        <v>15000</v>
      </c>
      <c r="H8" s="58">
        <f t="shared" ref="H8:H12" si="0">E8-D8</f>
        <v>8</v>
      </c>
      <c r="I8" s="58">
        <f t="shared" ref="I8:I12" si="1">F8-H8</f>
        <v>42</v>
      </c>
      <c r="J8" s="58">
        <f t="shared" ref="J8:J12" si="2">IF(H8&gt;=5,90*H8/F8,0)</f>
        <v>14.4</v>
      </c>
      <c r="K8" s="58">
        <f t="shared" ref="K8:K12" si="3">G8/100*J8</f>
        <v>2160</v>
      </c>
      <c r="L8" s="58">
        <f t="shared" ref="L8:L12" si="4">ROUND((G8-K8),0)</f>
        <v>12840</v>
      </c>
      <c r="M8" s="60">
        <f t="shared" ref="M8:M12" si="5">O8-N8</f>
        <v>4391582</v>
      </c>
      <c r="N8" s="58">
        <f t="shared" ref="N8:N12" si="6">ROUND((L8*C8),0)</f>
        <v>26105518</v>
      </c>
      <c r="O8" s="58">
        <f t="shared" ref="O8:O12" si="7">ROUND((C8*G8),0)</f>
        <v>30497100</v>
      </c>
      <c r="P8" s="90">
        <v>1</v>
      </c>
      <c r="Q8" s="96">
        <f>N8*P8</f>
        <v>26105518</v>
      </c>
    </row>
    <row r="9" spans="1:19" s="8" customFormat="1" x14ac:dyDescent="0.3">
      <c r="A9" s="55">
        <v>2</v>
      </c>
      <c r="B9" s="81" t="s">
        <v>56</v>
      </c>
      <c r="C9" s="80">
        <v>460</v>
      </c>
      <c r="D9" s="8">
        <v>2016</v>
      </c>
      <c r="E9" s="56">
        <v>2024</v>
      </c>
      <c r="F9" s="56">
        <v>50</v>
      </c>
      <c r="G9" s="57">
        <v>15000</v>
      </c>
      <c r="H9" s="58">
        <f t="shared" si="0"/>
        <v>8</v>
      </c>
      <c r="I9" s="58">
        <f t="shared" si="1"/>
        <v>42</v>
      </c>
      <c r="J9" s="58">
        <f t="shared" si="2"/>
        <v>14.4</v>
      </c>
      <c r="K9" s="58">
        <f t="shared" si="3"/>
        <v>2160</v>
      </c>
      <c r="L9" s="58">
        <f t="shared" si="4"/>
        <v>12840</v>
      </c>
      <c r="M9" s="60">
        <f t="shared" si="5"/>
        <v>993600</v>
      </c>
      <c r="N9" s="58">
        <f t="shared" si="6"/>
        <v>5906400</v>
      </c>
      <c r="O9" s="58">
        <f t="shared" si="7"/>
        <v>6900000</v>
      </c>
      <c r="P9" s="90">
        <v>1</v>
      </c>
      <c r="Q9" s="96">
        <f t="shared" ref="Q9:Q12" si="8">N9*P9</f>
        <v>5906400</v>
      </c>
    </row>
    <row r="10" spans="1:19" s="8" customFormat="1" ht="17.25" customHeight="1" x14ac:dyDescent="0.3">
      <c r="A10" s="55">
        <v>3</v>
      </c>
      <c r="B10" s="82" t="s">
        <v>60</v>
      </c>
      <c r="C10" s="80">
        <v>697.02</v>
      </c>
      <c r="D10" s="8">
        <v>2024</v>
      </c>
      <c r="E10" s="56">
        <v>2024</v>
      </c>
      <c r="F10" s="56">
        <v>60</v>
      </c>
      <c r="G10" s="57">
        <v>30000</v>
      </c>
      <c r="H10" s="58">
        <f t="shared" si="0"/>
        <v>0</v>
      </c>
      <c r="I10" s="58">
        <f t="shared" si="1"/>
        <v>60</v>
      </c>
      <c r="J10" s="58">
        <f t="shared" si="2"/>
        <v>0</v>
      </c>
      <c r="K10" s="58">
        <f t="shared" si="3"/>
        <v>0</v>
      </c>
      <c r="L10" s="58">
        <f t="shared" si="4"/>
        <v>30000</v>
      </c>
      <c r="M10" s="60">
        <f t="shared" si="5"/>
        <v>0</v>
      </c>
      <c r="N10" s="58">
        <f t="shared" si="6"/>
        <v>20910600</v>
      </c>
      <c r="O10" s="58">
        <f t="shared" si="7"/>
        <v>20910600</v>
      </c>
      <c r="P10" s="90">
        <v>0.8</v>
      </c>
      <c r="Q10" s="96">
        <f t="shared" si="8"/>
        <v>16728480</v>
      </c>
    </row>
    <row r="11" spans="1:19" s="8" customFormat="1" x14ac:dyDescent="0.3">
      <c r="A11" s="55">
        <v>4</v>
      </c>
      <c r="B11" s="83" t="s">
        <v>61</v>
      </c>
      <c r="C11" s="80">
        <v>457.2</v>
      </c>
      <c r="D11" s="8">
        <v>2016</v>
      </c>
      <c r="E11" s="56">
        <v>2024</v>
      </c>
      <c r="F11" s="56">
        <v>60</v>
      </c>
      <c r="G11" s="57">
        <v>12000</v>
      </c>
      <c r="H11" s="58">
        <f t="shared" si="0"/>
        <v>8</v>
      </c>
      <c r="I11" s="58">
        <f t="shared" si="1"/>
        <v>52</v>
      </c>
      <c r="J11" s="58">
        <f t="shared" si="2"/>
        <v>12</v>
      </c>
      <c r="K11" s="58">
        <f t="shared" si="3"/>
        <v>1440</v>
      </c>
      <c r="L11" s="58">
        <f t="shared" si="4"/>
        <v>10560</v>
      </c>
      <c r="M11" s="60">
        <f t="shared" si="5"/>
        <v>658368</v>
      </c>
      <c r="N11" s="58">
        <f t="shared" si="6"/>
        <v>4828032</v>
      </c>
      <c r="O11" s="58">
        <f t="shared" si="7"/>
        <v>5486400</v>
      </c>
      <c r="P11" s="90">
        <v>1</v>
      </c>
      <c r="Q11" s="96">
        <f t="shared" si="8"/>
        <v>4828032</v>
      </c>
    </row>
    <row r="12" spans="1:19" s="8" customFormat="1" x14ac:dyDescent="0.3">
      <c r="A12" s="55">
        <v>5</v>
      </c>
      <c r="B12" s="83" t="s">
        <v>62</v>
      </c>
      <c r="C12" s="80">
        <v>457.2</v>
      </c>
      <c r="D12" s="8">
        <v>2019</v>
      </c>
      <c r="E12" s="56">
        <v>2024</v>
      </c>
      <c r="F12" s="56">
        <v>50</v>
      </c>
      <c r="G12" s="57">
        <v>8000</v>
      </c>
      <c r="H12" s="58">
        <f t="shared" si="0"/>
        <v>5</v>
      </c>
      <c r="I12" s="58">
        <f t="shared" si="1"/>
        <v>45</v>
      </c>
      <c r="J12" s="58">
        <f t="shared" si="2"/>
        <v>9</v>
      </c>
      <c r="K12" s="58">
        <f t="shared" si="3"/>
        <v>720</v>
      </c>
      <c r="L12" s="58">
        <f t="shared" si="4"/>
        <v>7280</v>
      </c>
      <c r="M12" s="60">
        <f t="shared" si="5"/>
        <v>329184</v>
      </c>
      <c r="N12" s="58">
        <f t="shared" si="6"/>
        <v>3328416</v>
      </c>
      <c r="O12" s="58">
        <f t="shared" si="7"/>
        <v>3657600</v>
      </c>
      <c r="P12" s="90">
        <v>1</v>
      </c>
      <c r="Q12" s="96">
        <f t="shared" si="8"/>
        <v>3328416</v>
      </c>
    </row>
    <row r="13" spans="1:19" x14ac:dyDescent="0.3">
      <c r="A13" s="59"/>
      <c r="B13" s="61"/>
      <c r="C13" s="88">
        <f>SUM(C8:C12)</f>
        <v>4104.5600000000004</v>
      </c>
      <c r="D13" s="62"/>
      <c r="E13" s="62"/>
      <c r="F13" s="63"/>
      <c r="G13" s="58"/>
      <c r="H13" s="58"/>
      <c r="I13" s="58"/>
      <c r="J13" s="64"/>
      <c r="K13" s="58"/>
      <c r="L13" s="64"/>
      <c r="M13" s="58">
        <f>SUM(M8:M12)</f>
        <v>6372734</v>
      </c>
      <c r="N13" s="58">
        <f>SUM(N8:N12)</f>
        <v>61078966</v>
      </c>
      <c r="O13" s="58">
        <f>SUM(O8:O12)</f>
        <v>67451700</v>
      </c>
      <c r="Q13" s="97">
        <f>SUM(Q8:Q12)</f>
        <v>56896846</v>
      </c>
    </row>
    <row r="14" spans="1:19" x14ac:dyDescent="0.3">
      <c r="B14" s="7"/>
      <c r="C14" s="8"/>
      <c r="D14" s="8"/>
      <c r="E14" s="8"/>
      <c r="F14" s="9"/>
      <c r="G14" s="9"/>
      <c r="H14" s="9"/>
      <c r="I14" s="9"/>
      <c r="J14" s="8"/>
      <c r="K14" s="13"/>
      <c r="L14" s="14"/>
      <c r="M14" s="9"/>
      <c r="N14" s="24"/>
      <c r="O14" s="24"/>
    </row>
    <row r="15" spans="1:19" x14ac:dyDescent="0.3">
      <c r="B15" s="93" t="s">
        <v>17</v>
      </c>
      <c r="C15" s="93"/>
      <c r="D15" s="8"/>
      <c r="E15" s="8"/>
      <c r="F15" s="9"/>
      <c r="G15" s="9"/>
      <c r="H15" s="9"/>
      <c r="I15" s="9"/>
      <c r="J15" s="8"/>
      <c r="K15" s="13"/>
      <c r="L15" s="14"/>
      <c r="M15" s="9"/>
      <c r="N15" s="24"/>
      <c r="O15" s="24"/>
    </row>
    <row r="16" spans="1:19" x14ac:dyDescent="0.3">
      <c r="B16" s="20" t="s">
        <v>16</v>
      </c>
      <c r="C16" s="39">
        <v>0</v>
      </c>
      <c r="D16" s="8"/>
      <c r="E16" s="8"/>
      <c r="F16" s="89">
        <f>C10/3</f>
        <v>232.34</v>
      </c>
      <c r="G16" s="9"/>
      <c r="H16" s="9">
        <f>2024-8</f>
        <v>2016</v>
      </c>
      <c r="I16" s="9"/>
      <c r="J16" s="8"/>
      <c r="K16" s="13"/>
      <c r="L16" s="14"/>
      <c r="M16" s="9"/>
      <c r="N16" s="24"/>
      <c r="O16" s="24"/>
    </row>
    <row r="17" spans="1:15" x14ac:dyDescent="0.3">
      <c r="B17" s="21" t="s">
        <v>5</v>
      </c>
      <c r="C17" s="36">
        <v>0</v>
      </c>
      <c r="D17" s="8"/>
      <c r="E17" s="8"/>
      <c r="F17" s="9"/>
      <c r="G17" s="9"/>
      <c r="H17" s="9"/>
      <c r="I17" s="9"/>
      <c r="J17" s="8"/>
      <c r="K17" s="13"/>
      <c r="L17" s="14"/>
      <c r="M17" s="9"/>
      <c r="N17" s="24"/>
      <c r="O17" s="24"/>
    </row>
    <row r="18" spans="1:15" x14ac:dyDescent="0.3">
      <c r="B18" s="21" t="s">
        <v>6</v>
      </c>
      <c r="C18" s="38">
        <f>ROUND((C16*C17),0)</f>
        <v>0</v>
      </c>
      <c r="D18" s="8"/>
      <c r="E18" s="8"/>
      <c r="F18" s="9"/>
      <c r="G18" s="9"/>
      <c r="H18" s="9"/>
      <c r="I18" s="9"/>
      <c r="J18" s="8"/>
      <c r="K18" s="13"/>
      <c r="L18" s="14"/>
      <c r="M18" s="9"/>
      <c r="N18" s="24"/>
      <c r="O18" s="24"/>
    </row>
    <row r="19" spans="1:15" x14ac:dyDescent="0.3">
      <c r="B19" s="7"/>
      <c r="C19" s="8"/>
      <c r="D19" s="8"/>
      <c r="E19" s="8"/>
      <c r="F19" s="9"/>
      <c r="G19" s="9"/>
      <c r="H19" s="9"/>
      <c r="I19" s="9"/>
      <c r="J19" s="8"/>
      <c r="K19" s="13"/>
      <c r="L19" s="14"/>
      <c r="M19" s="9"/>
      <c r="N19" s="24"/>
      <c r="O19" s="24"/>
    </row>
    <row r="20" spans="1:15" ht="22.5" customHeight="1" x14ac:dyDescent="0.3">
      <c r="B20" s="94" t="s">
        <v>14</v>
      </c>
      <c r="C20" s="95"/>
      <c r="D20" s="8"/>
      <c r="E20" s="8"/>
      <c r="F20" s="9"/>
      <c r="G20" s="9"/>
      <c r="H20" s="9"/>
      <c r="I20" s="9"/>
      <c r="J20" s="8"/>
      <c r="K20" s="9"/>
      <c r="L20" s="8"/>
      <c r="M20" s="9"/>
      <c r="N20" s="9"/>
      <c r="O20" s="9"/>
    </row>
    <row r="21" spans="1:15" x14ac:dyDescent="0.3">
      <c r="B21" s="20" t="s">
        <v>10</v>
      </c>
      <c r="C21" s="39">
        <v>1</v>
      </c>
      <c r="E21" s="25"/>
      <c r="F21" s="25"/>
      <c r="G21" s="26"/>
      <c r="H21" s="11"/>
      <c r="I21" s="11"/>
      <c r="K21" s="5">
        <v>1200000</v>
      </c>
      <c r="L21" s="18"/>
    </row>
    <row r="22" spans="1:15" x14ac:dyDescent="0.3">
      <c r="B22" s="21" t="s">
        <v>5</v>
      </c>
      <c r="C22" s="36">
        <v>11000000</v>
      </c>
      <c r="D22" s="27"/>
      <c r="E22" s="19"/>
      <c r="F22" s="19"/>
      <c r="G22" s="13">
        <v>7200</v>
      </c>
      <c r="H22" s="11"/>
      <c r="I22" s="11"/>
      <c r="K22" s="5">
        <v>1500000</v>
      </c>
      <c r="L22" s="18"/>
    </row>
    <row r="23" spans="1:15" x14ac:dyDescent="0.3">
      <c r="B23" s="21" t="s">
        <v>6</v>
      </c>
      <c r="C23" s="38">
        <f>ROUND((C21*C22),0)</f>
        <v>11000000</v>
      </c>
      <c r="D23" s="6"/>
      <c r="E23" s="6"/>
      <c r="F23" s="18"/>
      <c r="H23" s="11"/>
      <c r="I23" s="11"/>
      <c r="K23" s="5">
        <v>150000</v>
      </c>
      <c r="L23" s="18"/>
    </row>
    <row r="24" spans="1:15" x14ac:dyDescent="0.3">
      <c r="B24" s="35"/>
      <c r="C24" s="16"/>
      <c r="D24" s="6"/>
      <c r="E24" s="6"/>
      <c r="F24" s="18"/>
      <c r="H24" s="11"/>
      <c r="I24" s="11"/>
      <c r="K24" s="5">
        <v>150000</v>
      </c>
      <c r="L24" s="18"/>
    </row>
    <row r="25" spans="1:15" x14ac:dyDescent="0.3">
      <c r="C25" s="6" t="s">
        <v>19</v>
      </c>
      <c r="D25" s="6"/>
      <c r="E25" s="6"/>
      <c r="F25" s="18"/>
      <c r="H25" s="11"/>
      <c r="I25" s="11"/>
      <c r="K25" s="5">
        <v>1000000</v>
      </c>
      <c r="L25" s="18"/>
    </row>
    <row r="26" spans="1:15" x14ac:dyDescent="0.3">
      <c r="B26" s="2" t="s">
        <v>12</v>
      </c>
      <c r="C26" s="44">
        <f>C4</f>
        <v>39600000</v>
      </c>
      <c r="D26" s="16"/>
      <c r="E26" s="16"/>
      <c r="F26" s="16"/>
      <c r="G26" s="16"/>
      <c r="H26" s="17"/>
      <c r="I26" s="47">
        <v>11</v>
      </c>
      <c r="K26" s="5">
        <v>2500000</v>
      </c>
      <c r="L26" s="15"/>
    </row>
    <row r="27" spans="1:15" x14ac:dyDescent="0.3">
      <c r="B27" s="2" t="s">
        <v>13</v>
      </c>
      <c r="C27" s="44">
        <f>Q13</f>
        <v>56896846</v>
      </c>
      <c r="D27" s="16"/>
      <c r="E27" s="16"/>
      <c r="F27" s="16"/>
      <c r="G27" s="16"/>
      <c r="H27" s="17"/>
      <c r="I27" s="17"/>
      <c r="K27" s="5">
        <f>SUM(K21:K26)</f>
        <v>6500000</v>
      </c>
      <c r="L27" s="17"/>
    </row>
    <row r="28" spans="1:15" x14ac:dyDescent="0.3">
      <c r="B28" s="2" t="s">
        <v>18</v>
      </c>
      <c r="C28" s="44">
        <f>C18</f>
        <v>0</v>
      </c>
      <c r="D28" s="16"/>
      <c r="E28" s="16"/>
      <c r="F28" s="16"/>
      <c r="G28" s="16"/>
      <c r="H28" s="17"/>
      <c r="I28" s="17"/>
      <c r="L28" s="17"/>
    </row>
    <row r="29" spans="1:15" x14ac:dyDescent="0.3">
      <c r="A29" s="1"/>
      <c r="B29" s="2" t="s">
        <v>11</v>
      </c>
      <c r="C29" s="44">
        <f>C23</f>
        <v>11000000</v>
      </c>
      <c r="D29" s="16"/>
      <c r="E29" s="16"/>
      <c r="F29" s="16"/>
      <c r="G29" s="16"/>
      <c r="H29" s="17"/>
      <c r="I29" s="17"/>
      <c r="L29" s="17"/>
    </row>
    <row r="30" spans="1:15" x14ac:dyDescent="0.3">
      <c r="A30" s="1"/>
      <c r="B30" s="10" t="s">
        <v>7</v>
      </c>
      <c r="C30" s="45">
        <f>C26+C27+C28+C29</f>
        <v>107496846</v>
      </c>
      <c r="D30" s="15"/>
      <c r="F30" s="15"/>
    </row>
    <row r="31" spans="1:15" x14ac:dyDescent="0.3">
      <c r="A31" s="1"/>
      <c r="B31" s="10" t="s">
        <v>8</v>
      </c>
      <c r="C31" s="45">
        <f>MROUND(C30*85%,1)</f>
        <v>91372319</v>
      </c>
      <c r="D31" s="17"/>
      <c r="F31" s="15"/>
      <c r="H31" s="29"/>
      <c r="I31" s="29"/>
    </row>
    <row r="32" spans="1:15" ht="17.25" thickBot="1" x14ac:dyDescent="0.35">
      <c r="A32" s="1"/>
      <c r="B32" s="10" t="s">
        <v>9</v>
      </c>
      <c r="C32" s="45">
        <f>MROUND(C30*70%,1)</f>
        <v>75247792</v>
      </c>
      <c r="D32" s="17"/>
      <c r="F32" s="15"/>
      <c r="H32" s="29"/>
      <c r="I32" s="29" t="s">
        <v>58</v>
      </c>
    </row>
    <row r="33" spans="1:15" s="8" customFormat="1" ht="49.5" x14ac:dyDescent="0.3">
      <c r="B33" s="40" t="s">
        <v>39</v>
      </c>
      <c r="C33" s="46">
        <f>MROUND(C27*0.85,1)</f>
        <v>48362319</v>
      </c>
      <c r="D33" s="7"/>
      <c r="F33" s="9"/>
      <c r="G33" s="9"/>
      <c r="H33" s="9"/>
      <c r="I33" s="91" t="s">
        <v>44</v>
      </c>
      <c r="J33" s="91" t="s">
        <v>45</v>
      </c>
      <c r="K33" s="91" t="s">
        <v>46</v>
      </c>
      <c r="L33" s="91" t="s">
        <v>47</v>
      </c>
      <c r="M33" s="91" t="s">
        <v>48</v>
      </c>
      <c r="N33" s="91" t="s">
        <v>49</v>
      </c>
      <c r="O33" s="65" t="s">
        <v>50</v>
      </c>
    </row>
    <row r="34" spans="1:15" ht="17.25" thickBot="1" x14ac:dyDescent="0.35">
      <c r="A34" s="1"/>
      <c r="I34" s="92"/>
      <c r="J34" s="92"/>
      <c r="K34" s="92"/>
      <c r="L34" s="92"/>
      <c r="M34" s="92"/>
      <c r="N34" s="92"/>
      <c r="O34" s="67" t="s">
        <v>51</v>
      </c>
    </row>
    <row r="35" spans="1:15" ht="17.25" thickBot="1" x14ac:dyDescent="0.35">
      <c r="A35" s="1"/>
      <c r="I35" s="68" t="s">
        <v>52</v>
      </c>
      <c r="J35" s="69" t="s">
        <v>53</v>
      </c>
      <c r="K35" s="70">
        <v>999.48</v>
      </c>
      <c r="L35" s="71">
        <v>339.15</v>
      </c>
      <c r="M35" s="71">
        <v>38.270000000000003</v>
      </c>
      <c r="N35" s="71">
        <v>2.25</v>
      </c>
      <c r="O35" s="71"/>
    </row>
    <row r="36" spans="1:15" ht="17.25" thickBot="1" x14ac:dyDescent="0.35">
      <c r="A36" s="1"/>
      <c r="H36" s="29"/>
      <c r="I36" s="68"/>
      <c r="J36" s="69" t="s">
        <v>54</v>
      </c>
      <c r="K36" s="70">
        <v>679.48</v>
      </c>
      <c r="L36" s="71">
        <v>339.15</v>
      </c>
      <c r="M36" s="71">
        <v>38.270000000000003</v>
      </c>
      <c r="N36" s="71">
        <v>2.25</v>
      </c>
      <c r="O36" s="71"/>
    </row>
    <row r="37" spans="1:15" ht="17.25" thickBot="1" x14ac:dyDescent="0.35">
      <c r="A37" s="1"/>
      <c r="I37" s="68"/>
      <c r="J37" s="69" t="s">
        <v>55</v>
      </c>
      <c r="K37" s="70">
        <v>354.18</v>
      </c>
      <c r="L37" s="71">
        <v>0</v>
      </c>
      <c r="M37" s="71">
        <v>19.850000000000001</v>
      </c>
      <c r="N37" s="71">
        <v>2.25</v>
      </c>
      <c r="O37" s="71"/>
    </row>
    <row r="38" spans="1:15" ht="17.25" thickBot="1" x14ac:dyDescent="0.35">
      <c r="A38" s="1"/>
      <c r="I38" s="72" t="s">
        <v>56</v>
      </c>
      <c r="J38" s="69" t="s">
        <v>53</v>
      </c>
      <c r="K38" s="70">
        <v>460</v>
      </c>
      <c r="L38" s="71">
        <v>230</v>
      </c>
      <c r="M38" s="71"/>
      <c r="N38" s="71"/>
      <c r="O38" s="71"/>
    </row>
    <row r="39" spans="1:15" x14ac:dyDescent="0.3">
      <c r="A39" s="1"/>
      <c r="I39" s="86" t="s">
        <v>63</v>
      </c>
    </row>
    <row r="40" spans="1:15" x14ac:dyDescent="0.3">
      <c r="A40" s="1"/>
      <c r="I40" s="84" t="s">
        <v>64</v>
      </c>
      <c r="J40" s="76"/>
      <c r="K40" s="75"/>
      <c r="L40" s="77"/>
      <c r="M40" s="75"/>
      <c r="N40" s="75"/>
      <c r="O40" s="78"/>
    </row>
    <row r="41" spans="1:15" ht="17.25" thickBot="1" x14ac:dyDescent="0.35">
      <c r="A41" s="1"/>
      <c r="I41" s="66" t="s">
        <v>57</v>
      </c>
      <c r="J41" s="69"/>
      <c r="K41" s="73">
        <f>SUM(K35:K38)</f>
        <v>2493.1400000000003</v>
      </c>
      <c r="L41" s="74"/>
      <c r="M41" s="74"/>
      <c r="N41" s="74"/>
      <c r="O41" s="74"/>
    </row>
    <row r="42" spans="1:15" x14ac:dyDescent="0.3">
      <c r="A42" s="1"/>
      <c r="I42" s="75"/>
      <c r="J42" s="76"/>
      <c r="K42" s="75"/>
      <c r="L42" s="76"/>
      <c r="M42" s="75"/>
      <c r="N42" s="75"/>
      <c r="O42" s="75"/>
    </row>
    <row r="43" spans="1:15" x14ac:dyDescent="0.3">
      <c r="A43" s="1"/>
      <c r="B43" s="1"/>
      <c r="I43" s="75"/>
      <c r="J43" s="76"/>
      <c r="K43" s="75">
        <f>3401.43-2493.14</f>
        <v>908.29</v>
      </c>
      <c r="L43" s="76"/>
      <c r="M43" s="75"/>
      <c r="N43" s="75"/>
      <c r="O43" s="75"/>
    </row>
    <row r="44" spans="1:15" x14ac:dyDescent="0.3">
      <c r="A44" s="1"/>
      <c r="B44" s="1"/>
      <c r="I44" s="75"/>
      <c r="J44" s="76"/>
      <c r="K44" s="75"/>
      <c r="L44" s="76"/>
      <c r="M44" s="75"/>
      <c r="N44" s="75"/>
      <c r="O44" s="75"/>
    </row>
    <row r="45" spans="1:15" x14ac:dyDescent="0.3">
      <c r="A45" s="1"/>
      <c r="B45" s="1"/>
      <c r="I45" s="75"/>
      <c r="J45" s="76"/>
      <c r="K45" s="75"/>
      <c r="L45" s="76"/>
      <c r="M45" s="75"/>
      <c r="N45" s="75"/>
      <c r="O45" s="75"/>
    </row>
    <row r="46" spans="1:15" x14ac:dyDescent="0.3">
      <c r="A46" s="1"/>
      <c r="B46" s="1"/>
      <c r="I46" s="75"/>
      <c r="J46" s="76"/>
      <c r="K46" s="75"/>
      <c r="L46" s="76"/>
      <c r="M46" s="75"/>
      <c r="N46" s="75"/>
      <c r="O46" s="75"/>
    </row>
    <row r="47" spans="1:15" x14ac:dyDescent="0.3">
      <c r="A47" s="1"/>
      <c r="B47" s="1"/>
      <c r="I47" s="75"/>
      <c r="J47" s="76"/>
      <c r="K47" s="75"/>
      <c r="L47" s="76"/>
      <c r="M47" s="75"/>
      <c r="N47" s="75"/>
      <c r="O47" s="75"/>
    </row>
    <row r="48" spans="1:15" x14ac:dyDescent="0.3">
      <c r="A48" s="1"/>
      <c r="B48" s="1"/>
      <c r="I48" s="75"/>
      <c r="J48" s="76"/>
      <c r="K48" s="75"/>
      <c r="L48" s="76"/>
      <c r="M48" s="75"/>
      <c r="N48" s="75"/>
      <c r="O48" s="75"/>
    </row>
    <row r="49" spans="1:15" x14ac:dyDescent="0.3">
      <c r="A49" s="1"/>
      <c r="B49" s="1"/>
      <c r="I49" s="75"/>
      <c r="J49" s="76"/>
      <c r="K49" s="75"/>
      <c r="L49" s="76"/>
      <c r="M49" s="75">
        <v>32.200000000000003</v>
      </c>
      <c r="N49" s="75">
        <v>19.5</v>
      </c>
      <c r="O49" s="75">
        <f>M49*N49</f>
        <v>627.90000000000009</v>
      </c>
    </row>
    <row r="50" spans="1:15" x14ac:dyDescent="0.3">
      <c r="A50" s="1"/>
      <c r="B50" s="1"/>
      <c r="M50" s="5">
        <v>3.3</v>
      </c>
      <c r="N50" s="5">
        <v>7.24</v>
      </c>
      <c r="O50" s="75">
        <f>M50*N50</f>
        <v>23.891999999999999</v>
      </c>
    </row>
    <row r="51" spans="1:15" x14ac:dyDescent="0.3">
      <c r="A51" s="1"/>
      <c r="B51" s="1"/>
      <c r="I51" s="84" t="s">
        <v>59</v>
      </c>
      <c r="O51" s="87">
        <f>SUM(O49:O50)</f>
        <v>651.79200000000014</v>
      </c>
    </row>
    <row r="52" spans="1:15" x14ac:dyDescent="0.3">
      <c r="A52" s="1"/>
      <c r="B52" s="1"/>
      <c r="F52" s="31"/>
      <c r="G52" s="31"/>
      <c r="H52" s="31"/>
      <c r="I52" s="81" t="s">
        <v>52</v>
      </c>
      <c r="J52" s="79">
        <v>2033.14</v>
      </c>
    </row>
    <row r="53" spans="1:15" x14ac:dyDescent="0.3">
      <c r="A53" s="1"/>
      <c r="B53" s="1"/>
      <c r="F53" s="30"/>
      <c r="G53" s="1"/>
      <c r="H53" s="30"/>
      <c r="I53" s="81" t="s">
        <v>56</v>
      </c>
      <c r="J53" s="80">
        <v>460</v>
      </c>
    </row>
    <row r="54" spans="1:15" x14ac:dyDescent="0.3">
      <c r="A54" s="1"/>
      <c r="B54" s="1"/>
      <c r="F54" s="30"/>
      <c r="G54" s="30"/>
      <c r="H54" s="32"/>
      <c r="I54" s="82" t="s">
        <v>60</v>
      </c>
      <c r="J54" s="80">
        <v>697.02</v>
      </c>
      <c r="M54" s="5">
        <v>36</v>
      </c>
      <c r="N54" s="5">
        <v>20</v>
      </c>
      <c r="O54" s="5">
        <f>M54*N54</f>
        <v>720</v>
      </c>
    </row>
    <row r="55" spans="1:15" x14ac:dyDescent="0.3">
      <c r="A55" s="1"/>
      <c r="B55" s="1"/>
      <c r="F55" s="30"/>
      <c r="G55" s="30"/>
      <c r="H55" s="30"/>
      <c r="I55" s="83" t="s">
        <v>61</v>
      </c>
      <c r="J55" s="80">
        <v>457.2</v>
      </c>
      <c r="M55" s="5">
        <v>36</v>
      </c>
      <c r="N55" s="5">
        <v>20</v>
      </c>
      <c r="O55" s="5">
        <f>M55*N55</f>
        <v>720</v>
      </c>
    </row>
    <row r="56" spans="1:15" x14ac:dyDescent="0.3">
      <c r="A56" s="1"/>
      <c r="B56" s="1"/>
      <c r="F56" s="30"/>
      <c r="G56" s="33"/>
      <c r="H56" s="30"/>
      <c r="I56" s="83" t="s">
        <v>62</v>
      </c>
      <c r="J56" s="80">
        <v>457.2</v>
      </c>
      <c r="M56" s="5">
        <v>36</v>
      </c>
      <c r="N56" s="5">
        <v>10.3</v>
      </c>
      <c r="O56" s="5">
        <f>M56*N56</f>
        <v>370.8</v>
      </c>
    </row>
    <row r="57" spans="1:15" x14ac:dyDescent="0.3">
      <c r="A57" s="1"/>
      <c r="B57" s="1"/>
      <c r="F57" s="30"/>
      <c r="G57" s="30"/>
      <c r="H57" s="30"/>
      <c r="I57" s="30"/>
      <c r="J57" s="85">
        <f>SUM(J52:J56)</f>
        <v>4104.5600000000004</v>
      </c>
      <c r="O57" s="5">
        <f>SUM(O54:O56)</f>
        <v>1810.8</v>
      </c>
    </row>
    <row r="58" spans="1:15" x14ac:dyDescent="0.3">
      <c r="A58" s="1"/>
      <c r="B58" s="1"/>
      <c r="F58" s="30"/>
      <c r="G58" s="30"/>
      <c r="H58" s="30"/>
      <c r="I58" s="30"/>
    </row>
    <row r="59" spans="1:15" x14ac:dyDescent="0.3">
      <c r="A59" s="1"/>
      <c r="B59" s="1"/>
      <c r="F59" s="30"/>
      <c r="G59" s="30"/>
      <c r="H59" s="30"/>
      <c r="I59" s="30"/>
    </row>
    <row r="60" spans="1:15" x14ac:dyDescent="0.3">
      <c r="A60" s="1"/>
      <c r="B60" s="1"/>
      <c r="F60" s="30"/>
      <c r="G60" s="30"/>
      <c r="H60" s="30"/>
      <c r="I60" s="30"/>
    </row>
    <row r="61" spans="1:15" x14ac:dyDescent="0.3">
      <c r="A61" s="1"/>
      <c r="B61" s="1"/>
      <c r="F61" s="30"/>
      <c r="G61" s="30"/>
      <c r="H61" s="30"/>
      <c r="I61" s="30"/>
    </row>
    <row r="62" spans="1:15" x14ac:dyDescent="0.3">
      <c r="A62" s="1"/>
      <c r="B62" s="1"/>
      <c r="F62" s="30"/>
      <c r="G62" s="30"/>
      <c r="H62" s="30"/>
      <c r="I62" s="30"/>
    </row>
    <row r="63" spans="1:15" x14ac:dyDescent="0.3">
      <c r="A63" s="1"/>
      <c r="B63" s="1"/>
    </row>
    <row r="64" spans="1:15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</row>
    <row r="67" spans="1:6" x14ac:dyDescent="0.3">
      <c r="A67" s="1"/>
      <c r="B67" s="1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  <c r="F74" s="34"/>
    </row>
    <row r="75" spans="1:6" x14ac:dyDescent="0.3">
      <c r="A75" s="1"/>
      <c r="B75" s="1"/>
      <c r="F75" s="34"/>
    </row>
    <row r="76" spans="1:6" x14ac:dyDescent="0.3">
      <c r="A76" s="1"/>
      <c r="B76" s="1"/>
      <c r="F76" s="34"/>
    </row>
    <row r="77" spans="1:6" x14ac:dyDescent="0.3">
      <c r="A77" s="1"/>
      <c r="B77" s="1"/>
      <c r="F77" s="34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  <row r="167" spans="1:2" x14ac:dyDescent="0.3">
      <c r="A167" s="1"/>
      <c r="B167" s="1"/>
    </row>
    <row r="168" spans="1:2" x14ac:dyDescent="0.3">
      <c r="A168" s="1"/>
      <c r="B168" s="1"/>
    </row>
  </sheetData>
  <mergeCells count="8">
    <mergeCell ref="L33:L34"/>
    <mergeCell ref="M33:M34"/>
    <mergeCell ref="N33:N34"/>
    <mergeCell ref="B15:C15"/>
    <mergeCell ref="B20:C20"/>
    <mergeCell ref="I33:I34"/>
    <mergeCell ref="J33:J34"/>
    <mergeCell ref="K33:K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0BC-2021-4420-A10A-924FDE9FB36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C294-D4CD-4D7E-AC3A-C812736102D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ACA-6630-45F8-90D2-5DAA83D39B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Valuation</vt:lpstr>
      <vt:lpstr>Sheet1</vt:lpstr>
      <vt:lpstr>Sheet2</vt:lpstr>
      <vt:lpstr>Sheet3</vt:lpstr>
      <vt:lpstr>Valuation!_Hlk169790212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2024-07-15T10:55:13Z</dcterms:modified>
</cp:coreProperties>
</file>