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0" i="5" l="1"/>
  <c r="G8" i="5" l="1"/>
  <c r="B23" i="5"/>
  <c r="I56" i="5"/>
  <c r="I53" i="5"/>
  <c r="G63" i="5"/>
  <c r="G58" i="5"/>
  <c r="G54" i="5"/>
  <c r="G60" i="5"/>
  <c r="G47" i="5"/>
  <c r="G48" i="5"/>
  <c r="G49" i="5"/>
  <c r="G50" i="5"/>
  <c r="G51" i="5"/>
  <c r="G52" i="5"/>
  <c r="G53" i="5"/>
  <c r="G56" i="5"/>
  <c r="G57" i="5"/>
  <c r="G61" i="5"/>
  <c r="G62" i="5"/>
  <c r="G46" i="5"/>
  <c r="L24" i="5"/>
  <c r="B22" i="5"/>
  <c r="B21" i="5"/>
  <c r="B20" i="5"/>
  <c r="B18" i="5"/>
  <c r="B15" i="5"/>
  <c r="P18" i="5"/>
  <c r="B7" i="5"/>
  <c r="I28" i="5"/>
  <c r="H28" i="5"/>
  <c r="H26" i="5"/>
  <c r="H25" i="5"/>
  <c r="I22" i="5"/>
  <c r="C6" i="5"/>
  <c r="B12" i="5"/>
  <c r="B13" i="5"/>
  <c r="B8" i="5"/>
  <c r="B6" i="5"/>
  <c r="N3" i="5"/>
  <c r="G9" i="5"/>
  <c r="T15" i="5" l="1"/>
  <c r="T14" i="5"/>
  <c r="T13" i="5"/>
  <c r="T12" i="5"/>
  <c r="T11" i="5"/>
  <c r="T10" i="5"/>
  <c r="T9" i="5"/>
  <c r="K11" i="5"/>
  <c r="K14" i="5"/>
  <c r="K12" i="5"/>
  <c r="N18" i="5"/>
  <c r="H12" i="5"/>
  <c r="H11" i="5"/>
  <c r="B11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H6" i="1" l="1"/>
  <c r="H7" i="1" s="1"/>
  <c r="B25" i="5" l="1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<sst xmlns="http://schemas.openxmlformats.org/spreadsheetml/2006/main" count="70" uniqueCount="49">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</sst>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166" fontId="0" fillId="0" borderId="0" xfId="1" applyNumberFormat="1" applyFont="1"/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tabSelected="1" topLeftCell="A4" workbookViewId="0">
      <selection activeCell="C21" sqref="C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8" max="8" width="14.42578125" bestFit="1" customWidth="1"/>
    <col min="9" max="9" width="10" bestFit="1" customWidth="1"/>
    <col min="12" max="12" width="12.5703125" bestFit="1" customWidth="1"/>
  </cols>
  <sheetData>
    <row r="2" spans="1:20" x14ac:dyDescent="0.25">
      <c r="A2" s="17"/>
      <c r="B2" s="17"/>
      <c r="N2">
        <v>381</v>
      </c>
    </row>
    <row r="3" spans="1:20" x14ac:dyDescent="0.25">
      <c r="A3" s="17" t="s">
        <v>34</v>
      </c>
      <c r="B3" s="17"/>
      <c r="N3">
        <f>N2*1.2</f>
        <v>457.2</v>
      </c>
    </row>
    <row r="4" spans="1:20" x14ac:dyDescent="0.25">
      <c r="A4" s="17" t="s">
        <v>20</v>
      </c>
      <c r="B4" s="17">
        <v>2024</v>
      </c>
    </row>
    <row r="5" spans="1:20" x14ac:dyDescent="0.25">
      <c r="A5" s="17" t="s">
        <v>21</v>
      </c>
      <c r="B5" s="17">
        <v>2013</v>
      </c>
    </row>
    <row r="6" spans="1:20" x14ac:dyDescent="0.25">
      <c r="A6" s="17" t="s">
        <v>22</v>
      </c>
      <c r="B6" s="17">
        <f>B4-B5</f>
        <v>11</v>
      </c>
      <c r="C6">
        <f>100-B6</f>
        <v>89</v>
      </c>
    </row>
    <row r="7" spans="1:20" x14ac:dyDescent="0.25">
      <c r="A7" s="17"/>
      <c r="B7" s="17">
        <f>60-B6</f>
        <v>49</v>
      </c>
    </row>
    <row r="8" spans="1:20" x14ac:dyDescent="0.25">
      <c r="A8" s="17" t="s">
        <v>23</v>
      </c>
      <c r="B8" s="46">
        <f>457*3000</f>
        <v>1371000</v>
      </c>
      <c r="E8" t="s">
        <v>35</v>
      </c>
      <c r="F8">
        <v>381</v>
      </c>
      <c r="G8">
        <f>F8/10.764</f>
        <v>35.395763656633221</v>
      </c>
      <c r="H8" s="1"/>
    </row>
    <row r="9" spans="1:20" x14ac:dyDescent="0.25">
      <c r="A9" s="17" t="s">
        <v>24</v>
      </c>
      <c r="B9" s="17"/>
      <c r="E9" t="s">
        <v>47</v>
      </c>
      <c r="F9">
        <v>42.49</v>
      </c>
      <c r="G9">
        <f>F9*10.764</f>
        <v>457.36235999999997</v>
      </c>
      <c r="H9" s="1">
        <v>457</v>
      </c>
      <c r="R9">
        <v>3.66</v>
      </c>
      <c r="S9">
        <v>3</v>
      </c>
      <c r="T9">
        <f>R9*S9</f>
        <v>10.98</v>
      </c>
    </row>
    <row r="10" spans="1:20" x14ac:dyDescent="0.25">
      <c r="A10" s="17"/>
      <c r="B10" s="17"/>
      <c r="H10" s="1">
        <v>28000</v>
      </c>
      <c r="J10">
        <v>491</v>
      </c>
      <c r="K10">
        <v>57</v>
      </c>
      <c r="R10">
        <v>3.25</v>
      </c>
      <c r="S10">
        <v>2.1</v>
      </c>
      <c r="T10">
        <f>R10*S10</f>
        <v>6.8250000000000002</v>
      </c>
    </row>
    <row r="11" spans="1:20" x14ac:dyDescent="0.25">
      <c r="A11" s="17" t="s">
        <v>25</v>
      </c>
      <c r="B11" s="17">
        <f>100-10</f>
        <v>90</v>
      </c>
      <c r="H11" s="1">
        <f>H9*H10</f>
        <v>12796000</v>
      </c>
      <c r="K11">
        <f>J10+K10</f>
        <v>548</v>
      </c>
      <c r="R11">
        <v>3.25</v>
      </c>
      <c r="S11">
        <v>3.11</v>
      </c>
      <c r="T11">
        <f>R11*S11</f>
        <v>10.1075</v>
      </c>
    </row>
    <row r="12" spans="1:20" x14ac:dyDescent="0.25">
      <c r="A12" s="17" t="s">
        <v>26</v>
      </c>
      <c r="B12" s="17">
        <f>B11*B6/60</f>
        <v>16.5</v>
      </c>
      <c r="E12" t="s">
        <v>35</v>
      </c>
      <c r="H12" s="1">
        <f>H11/F8</f>
        <v>33585.301837270345</v>
      </c>
      <c r="K12">
        <f>K11*1.2</f>
        <v>657.6</v>
      </c>
      <c r="R12">
        <v>1.2</v>
      </c>
      <c r="S12">
        <v>2.1</v>
      </c>
      <c r="T12">
        <f>R12*S12</f>
        <v>2.52</v>
      </c>
    </row>
    <row r="13" spans="1:20" x14ac:dyDescent="0.25">
      <c r="A13" s="17"/>
      <c r="B13" s="47">
        <f>B12%</f>
        <v>0.16500000000000001</v>
      </c>
      <c r="K13">
        <v>34000</v>
      </c>
      <c r="R13">
        <v>1.2</v>
      </c>
      <c r="S13">
        <v>2.1</v>
      </c>
      <c r="T13">
        <f>R13*S13</f>
        <v>2.52</v>
      </c>
    </row>
    <row r="14" spans="1:20" x14ac:dyDescent="0.25">
      <c r="A14" s="17"/>
      <c r="B14" s="17"/>
      <c r="K14">
        <f>K12*K13</f>
        <v>22358400</v>
      </c>
      <c r="T14">
        <f>SUM(T9:T13)</f>
        <v>32.952500000000001</v>
      </c>
    </row>
    <row r="15" spans="1:20" x14ac:dyDescent="0.25">
      <c r="A15" s="17" t="s">
        <v>27</v>
      </c>
      <c r="B15" s="46">
        <f>ROUND((B8*B13),0)</f>
        <v>226215</v>
      </c>
      <c r="T15">
        <f>T14*10.764</f>
        <v>354.70070999999996</v>
      </c>
    </row>
    <row r="16" spans="1:20" x14ac:dyDescent="0.25">
      <c r="A16" s="17" t="s">
        <v>15</v>
      </c>
      <c r="B16" s="46">
        <v>381</v>
      </c>
    </row>
    <row r="17" spans="1:16" x14ac:dyDescent="0.25">
      <c r="A17" s="17" t="s">
        <v>42</v>
      </c>
      <c r="B17" s="17">
        <v>35000</v>
      </c>
      <c r="N17">
        <v>241</v>
      </c>
      <c r="P17">
        <v>381</v>
      </c>
    </row>
    <row r="18" spans="1:16" x14ac:dyDescent="0.25">
      <c r="A18" s="17" t="s">
        <v>28</v>
      </c>
      <c r="B18" s="46">
        <f>B17*B16</f>
        <v>13335000</v>
      </c>
      <c r="N18">
        <f>N17/1.2</f>
        <v>200.83333333333334</v>
      </c>
      <c r="P18">
        <f>P17*1.2</f>
        <v>457.2</v>
      </c>
    </row>
    <row r="19" spans="1:16" x14ac:dyDescent="0.25">
      <c r="A19" s="17" t="s">
        <v>29</v>
      </c>
      <c r="B19" s="17"/>
    </row>
    <row r="20" spans="1:16" x14ac:dyDescent="0.25">
      <c r="A20" s="43" t="s">
        <v>48</v>
      </c>
      <c r="B20" s="48">
        <f>B18-B15</f>
        <v>13108785</v>
      </c>
      <c r="C20" s="5">
        <f>B20/457</f>
        <v>28684.431072210067</v>
      </c>
    </row>
    <row r="21" spans="1:16" x14ac:dyDescent="0.25">
      <c r="A21" s="43" t="s">
        <v>31</v>
      </c>
      <c r="B21" s="48">
        <f>ROUND((B20*90%),0)</f>
        <v>11797907</v>
      </c>
      <c r="L21" s="1"/>
    </row>
    <row r="22" spans="1:16" x14ac:dyDescent="0.25">
      <c r="A22" s="43" t="s">
        <v>32</v>
      </c>
      <c r="B22" s="48">
        <f>ROUND((B20*80%),0)</f>
        <v>10487028</v>
      </c>
      <c r="H22" s="1">
        <v>235990</v>
      </c>
      <c r="I22" s="49">
        <f>H22/10.764</f>
        <v>21924.005945745077</v>
      </c>
      <c r="L22" s="1">
        <v>457</v>
      </c>
    </row>
    <row r="23" spans="1:16" x14ac:dyDescent="0.25">
      <c r="A23" s="43" t="s">
        <v>33</v>
      </c>
      <c r="B23" s="48">
        <f>MROUND((B20*0.025/12),500)</f>
        <v>27500</v>
      </c>
      <c r="H23" s="1">
        <v>122730</v>
      </c>
      <c r="I23" s="49"/>
      <c r="L23" s="1">
        <v>20767</v>
      </c>
    </row>
    <row r="24" spans="1:16" x14ac:dyDescent="0.25">
      <c r="H24" s="1"/>
      <c r="I24" s="49"/>
      <c r="L24" s="1">
        <f>L23*L22</f>
        <v>9490519</v>
      </c>
    </row>
    <row r="25" spans="1:16" x14ac:dyDescent="0.25">
      <c r="B25" s="5">
        <f>B20/222</f>
        <v>59048.58108108108</v>
      </c>
      <c r="H25" s="1">
        <f>H22-H23</f>
        <v>113260</v>
      </c>
      <c r="I25" s="49"/>
      <c r="L25" s="1"/>
    </row>
    <row r="26" spans="1:16" x14ac:dyDescent="0.25">
      <c r="H26" s="1">
        <f>H25*89%</f>
        <v>100801.40000000001</v>
      </c>
      <c r="I26" s="49"/>
      <c r="L26" s="1"/>
    </row>
    <row r="27" spans="1:16" x14ac:dyDescent="0.25">
      <c r="H27" s="1"/>
      <c r="I27" s="49"/>
    </row>
    <row r="28" spans="1:16" x14ac:dyDescent="0.25">
      <c r="H28" s="49">
        <f>H26+H23</f>
        <v>223531.40000000002</v>
      </c>
      <c r="I28" s="49">
        <f>H28/10.764</f>
        <v>20766.573764399855</v>
      </c>
    </row>
    <row r="29" spans="1:16" x14ac:dyDescent="0.25">
      <c r="H29" s="1"/>
      <c r="I29" s="49"/>
    </row>
    <row r="32" spans="1:16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6" spans="4:13" x14ac:dyDescent="0.25">
      <c r="E46">
        <v>9.8000000000000007</v>
      </c>
      <c r="F46">
        <v>12.69</v>
      </c>
      <c r="G46">
        <f>F46*E46</f>
        <v>124.36200000000001</v>
      </c>
    </row>
    <row r="47" spans="4:13" x14ac:dyDescent="0.25">
      <c r="E47">
        <v>6.57</v>
      </c>
      <c r="F47">
        <v>9.16</v>
      </c>
      <c r="G47">
        <f t="shared" ref="G47:G62" si="0">F47*E47</f>
        <v>60.181200000000004</v>
      </c>
    </row>
    <row r="48" spans="4:13" x14ac:dyDescent="0.25">
      <c r="E48">
        <v>3.5</v>
      </c>
      <c r="F48">
        <v>9.17</v>
      </c>
      <c r="G48">
        <f t="shared" si="0"/>
        <v>32.094999999999999</v>
      </c>
    </row>
    <row r="49" spans="5:9" x14ac:dyDescent="0.25">
      <c r="E49">
        <v>3.79</v>
      </c>
      <c r="F49">
        <v>7.58</v>
      </c>
      <c r="G49">
        <f t="shared" si="0"/>
        <v>28.728200000000001</v>
      </c>
    </row>
    <row r="50" spans="5:9" x14ac:dyDescent="0.25">
      <c r="E50">
        <v>9.6300000000000008</v>
      </c>
      <c r="F50">
        <v>8.15</v>
      </c>
      <c r="G50">
        <f t="shared" si="0"/>
        <v>78.484500000000011</v>
      </c>
      <c r="I50">
        <v>484</v>
      </c>
    </row>
    <row r="51" spans="5:9" x14ac:dyDescent="0.25">
      <c r="E51">
        <v>12.15</v>
      </c>
      <c r="F51">
        <v>10.31</v>
      </c>
      <c r="G51">
        <f t="shared" si="0"/>
        <v>125.26650000000001</v>
      </c>
      <c r="I51">
        <v>7</v>
      </c>
    </row>
    <row r="52" spans="5:9" x14ac:dyDescent="0.25">
      <c r="E52">
        <v>1.91</v>
      </c>
      <c r="F52">
        <v>2.5299999999999998</v>
      </c>
      <c r="G52">
        <f t="shared" si="0"/>
        <v>4.8322999999999992</v>
      </c>
      <c r="I52">
        <v>57</v>
      </c>
    </row>
    <row r="53" spans="5:9" x14ac:dyDescent="0.25">
      <c r="E53">
        <v>4.28</v>
      </c>
      <c r="F53">
        <v>6.97</v>
      </c>
      <c r="G53">
        <f t="shared" si="0"/>
        <v>29.831600000000002</v>
      </c>
      <c r="I53">
        <f>SUM(I50:I52)</f>
        <v>548</v>
      </c>
    </row>
    <row r="54" spans="5:9" x14ac:dyDescent="0.25">
      <c r="G54" s="50">
        <f>SUM(G46:G53)</f>
        <v>483.78129999999999</v>
      </c>
    </row>
    <row r="56" spans="5:9" x14ac:dyDescent="0.25">
      <c r="E56">
        <v>2.2799999999999998</v>
      </c>
      <c r="F56">
        <v>2.19</v>
      </c>
      <c r="G56">
        <f t="shared" si="0"/>
        <v>4.9931999999999999</v>
      </c>
      <c r="I56">
        <f>G54+G58+G63</f>
        <v>548.16790000000003</v>
      </c>
    </row>
    <row r="57" spans="5:9" x14ac:dyDescent="0.25">
      <c r="E57">
        <v>2.1</v>
      </c>
      <c r="F57">
        <v>1.02</v>
      </c>
      <c r="G57">
        <f t="shared" si="0"/>
        <v>2.1420000000000003</v>
      </c>
    </row>
    <row r="58" spans="5:9" x14ac:dyDescent="0.25">
      <c r="G58" s="50">
        <f>SUM(G56:G57)</f>
        <v>7.1352000000000002</v>
      </c>
    </row>
    <row r="60" spans="5:9" x14ac:dyDescent="0.25">
      <c r="E60">
        <v>1.82</v>
      </c>
      <c r="F60">
        <v>9.93</v>
      </c>
      <c r="G60">
        <f t="shared" si="0"/>
        <v>18.072600000000001</v>
      </c>
    </row>
    <row r="61" spans="5:9" x14ac:dyDescent="0.25">
      <c r="E61">
        <v>2.04</v>
      </c>
      <c r="F61">
        <v>11.29</v>
      </c>
      <c r="G61">
        <f t="shared" si="0"/>
        <v>23.031599999999997</v>
      </c>
    </row>
    <row r="62" spans="5:9" x14ac:dyDescent="0.25">
      <c r="E62">
        <v>2.3199999999999998</v>
      </c>
      <c r="F62">
        <v>6.96</v>
      </c>
      <c r="G62">
        <f t="shared" si="0"/>
        <v>16.147199999999998</v>
      </c>
    </row>
    <row r="63" spans="5:9" x14ac:dyDescent="0.25">
      <c r="G63" s="50">
        <f>SUM(G60:G62)</f>
        <v>57.251399999999997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2024-07-02T10:42:00Z</dcterms:modified>
</cp:coreProperties>
</file>