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Zaveri Bazar\Ashwini Sameer Lonkar\"/>
    </mc:Choice>
  </mc:AlternateContent>
  <xr:revisionPtr revIDLastSave="0" documentId="13_ncr:1_{6201AD27-CBB5-4A70-98AB-5F195AC7A41A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C19" i="23"/>
  <c r="N47" i="24"/>
  <c r="N45" i="24"/>
  <c r="N42" i="24"/>
  <c r="N43" i="24"/>
  <c r="N44" i="24"/>
  <c r="N41" i="24"/>
  <c r="N39" i="24"/>
  <c r="N33" i="24"/>
  <c r="N34" i="24"/>
  <c r="N35" i="24"/>
  <c r="N36" i="24"/>
  <c r="N37" i="24"/>
  <c r="N38" i="24"/>
  <c r="N32" i="24"/>
  <c r="O28" i="24"/>
  <c r="O26" i="24" l="1"/>
  <c r="N26" i="24"/>
  <c r="N25" i="24"/>
  <c r="N23" i="24"/>
  <c r="N18" i="24"/>
  <c r="N19" i="24"/>
  <c r="N20" i="24"/>
  <c r="N21" i="24"/>
  <c r="N22" i="24"/>
  <c r="N24" i="24"/>
  <c r="N17" i="24"/>
  <c r="O13" i="24" l="1"/>
  <c r="N11" i="24"/>
  <c r="P11" i="24" s="1"/>
  <c r="G38" i="4"/>
  <c r="J29" i="4"/>
  <c r="H26" i="4"/>
  <c r="G31" i="4" l="1"/>
  <c r="G29" i="4"/>
  <c r="I29" i="4"/>
  <c r="P5" i="4"/>
  <c r="P3" i="4"/>
  <c r="P2" i="4"/>
  <c r="C5" i="25" l="1"/>
  <c r="Q2" i="4"/>
  <c r="B2" i="4" s="1"/>
  <c r="C2" i="4" s="1"/>
  <c r="Q3" i="4"/>
  <c r="B3" i="4" s="1"/>
  <c r="C3" i="4" s="1"/>
  <c r="D3" i="4" s="1"/>
  <c r="P4" i="4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O10" i="24" s="1"/>
  <c r="P10" i="24" s="1"/>
  <c r="Q10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N13" i="24" s="1"/>
  <c r="O14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<sst xmlns="http://schemas.openxmlformats.org/spreadsheetml/2006/main" count="147" uniqueCount="105">
  <si>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</si>
  <si>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</si>
  <si>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</si>
  <si>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</si>
  <si>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</si>
  <si>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</si>
  <si>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</si>
  <si>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</si>
  <si>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</si>
  <si>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</si>
  <si>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</si>
  <si>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</si>
  <si>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</si>
  <si>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</si>
  <si>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</si>
  <si>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</si>
  <si>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</si>
  <si>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</si>
  <si>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</si>
  <si>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</si>
  <si>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</si>
  <si>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</si>
  <si>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</si>
  <si>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</si>
  <si>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</si>
  <si>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</si>
  <si>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</si>
  <si>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</si>
  <si>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</si>
  <si>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</si>
  <si>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</si>
  <si>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</si>
  <si>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</si>
  <si>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</si>
  <si>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</si>
  <si>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</si>
  <si>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</si>
  <si>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</si>
  <si>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</si>
  <si>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</si>
  <si>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</si>
  <si>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</si>
  <si>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</si>
  <si>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</si>
  <si>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</si>
  <si>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</si>
  <si>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</si>
  <si>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</si>
  <si>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</si>
  <si>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</si>
  <si>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</si>
  <si>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</si>
  <si>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</si>
  <si>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</si>
  <si>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</si>
  <si>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</si>
  <si>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</si>
  <si>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</si>
  <si>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</si>
  <si>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</si>
  <si>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</si>
  <si>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</si>
  <si>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</si>
  <si>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</si>
  <si>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</si>
  <si>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</si>
  <si>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</si>
  <si>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</si>
  <si>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</si>
  <si>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</si>
  <si>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</si>
  <si>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</si>
  <si>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</si>
  <si>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</si>
  <si>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</si>
  <si>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</si>
  <si>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</si>
  <si>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</si>
  <si>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</si>
  <si>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</si>
  <si>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</si>
  <si>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</si>
  <si>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</si>
  <si>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</si>
  <si>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</si>
  <si>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27.10.2023</t>
  </si>
  <si>
    <t>TERRACE</t>
  </si>
  <si>
    <t>IGR-09.11.23</t>
  </si>
  <si>
    <t>IGR-23.08.23</t>
  </si>
  <si>
    <t>IGR-21.02.22</t>
  </si>
  <si>
    <t>IGR-27.01.24</t>
  </si>
  <si>
    <t>TABUA</t>
  </si>
  <si>
    <t>PLAN</t>
  </si>
  <si>
    <t>50% OF BALC</t>
  </si>
  <si>
    <t>Old Plan - 1996</t>
  </si>
  <si>
    <t>New Plan - 1999</t>
  </si>
  <si>
    <t>Terrace</t>
  </si>
  <si>
    <t>Passage</t>
  </si>
  <si>
    <t>Living Room</t>
  </si>
  <si>
    <t>Bath</t>
  </si>
  <si>
    <t>WC</t>
  </si>
  <si>
    <t>Kitchen</t>
  </si>
  <si>
    <t>Encl balc</t>
  </si>
  <si>
    <t xml:space="preserve">Flowerbed </t>
  </si>
  <si>
    <t>Measurement carpet Area - 07.062.024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</si>
</sst>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2" fontId="0" fillId="2" borderId="8" xfId="0" applyNumberFormat="1" applyFill="1" applyBorder="1"/>
    <xf numFmtId="2" fontId="2" fillId="2" borderId="8" xfId="0" applyNumberFormat="1" applyFont="1" applyFill="1" applyBorder="1"/>
    <xf numFmtId="0" fontId="10" fillId="0" borderId="8" xfId="0" applyFont="1" applyBorder="1" applyAlignment="1">
      <alignment horizontal="center"/>
    </xf>
    <xf numFmtId="0" fontId="2" fillId="2" borderId="8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13</xdr:row>
      <xdr:rowOff>47625</xdr:rowOff>
    </xdr:from>
    <xdr:to>
      <xdr:col>28</xdr:col>
      <xdr:colOff>401078</xdr:colOff>
      <xdr:row>43</xdr:row>
      <xdr:rowOff>38942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7A209-27E9-4B7D-9F70-1AA78A9D6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325" y="2809875"/>
          <a:ext cx="7363853" cy="6030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80867-BF2D-4A5F-BC22-01154AACE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51D591-8EA4-4402-A3C8-8E7EB276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A062A7-A630-4B9D-B117-224899E25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7929E-0797-4E91-85C6-6F5865A6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64B6EF-0CD3-4DD8-9151-8B4942CF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230844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388B-4A7D-4F85-8D71-8BED352A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0444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1">
        <v>321690</v>
      </c>
      <c r="D3" s="42"/>
      <c r="E3" s="42"/>
      <c r="F3" s="42"/>
      <c r="H3" s="54" t="s">
        <v>37</v>
      </c>
      <c r="I3" s="54"/>
      <c r="J3" s="54" t="s">
        <v>38</v>
      </c>
      <c r="K3" s="54" t="s">
        <v>39</v>
      </c>
      <c r="L3" s="54" t="s">
        <v>40</v>
      </c>
    </row>
    <row r="4" spans="2:12" x14ac:dyDescent="0.25">
      <c r="B4" s="42" t="s">
        <v>84</v>
      </c>
      <c r="C4" s="51">
        <f>C3*5%</f>
        <v>16084.5</v>
      </c>
      <c r="D4" s="42"/>
      <c r="E4" s="42"/>
      <c r="F4" s="42"/>
      <c r="H4" s="55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6">
        <f>C3+C4</f>
        <v>337774.5</v>
      </c>
      <c r="D5" s="57" t="s">
        <v>62</v>
      </c>
      <c r="E5" s="58">
        <f>C5/10.764</f>
        <v>31380.016722408029</v>
      </c>
      <c r="F5" s="57" t="s">
        <v>63</v>
      </c>
      <c r="H5" s="59" t="s">
        <v>44</v>
      </c>
      <c r="I5" s="55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1">
        <v>139950</v>
      </c>
      <c r="D6" s="42"/>
      <c r="E6" s="42"/>
      <c r="F6" s="42"/>
      <c r="H6" s="60" t="s">
        <v>46</v>
      </c>
      <c r="I6" s="55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1">
        <f>C5-C6</f>
        <v>197824.5</v>
      </c>
      <c r="D7" s="42"/>
      <c r="E7" s="42"/>
      <c r="F7" s="42"/>
      <c r="H7" s="59" t="s">
        <v>50</v>
      </c>
      <c r="I7" s="55">
        <v>0.8</v>
      </c>
      <c r="J7" s="42"/>
      <c r="K7" s="59" t="s">
        <v>46</v>
      </c>
      <c r="L7" s="55">
        <v>0.05</v>
      </c>
    </row>
    <row r="8" spans="2:12" ht="30" x14ac:dyDescent="0.25">
      <c r="B8" s="61" t="s">
        <v>82</v>
      </c>
      <c r="C8" s="51">
        <f>C7*D13%</f>
        <v>148368.375</v>
      </c>
      <c r="D8" s="42"/>
      <c r="E8" s="42"/>
      <c r="F8" s="42"/>
      <c r="H8" s="59" t="s">
        <v>51</v>
      </c>
      <c r="I8" s="55">
        <v>0.7</v>
      </c>
      <c r="J8" s="42"/>
      <c r="K8" s="62" t="s">
        <v>52</v>
      </c>
      <c r="L8" s="55">
        <v>0.1</v>
      </c>
    </row>
    <row r="9" spans="2:12" x14ac:dyDescent="0.25">
      <c r="B9" s="42" t="s">
        <v>83</v>
      </c>
      <c r="C9" s="56">
        <f>C6+C8</f>
        <v>288318.375</v>
      </c>
      <c r="D9" s="57" t="s">
        <v>62</v>
      </c>
      <c r="E9" s="58">
        <f>C9/10.764</f>
        <v>26785.430602006691</v>
      </c>
      <c r="F9" s="57" t="s">
        <v>63</v>
      </c>
      <c r="H9" s="59" t="s">
        <v>53</v>
      </c>
      <c r="I9" s="55">
        <v>0.6</v>
      </c>
      <c r="J9" s="42"/>
      <c r="K9" s="42" t="s">
        <v>54</v>
      </c>
      <c r="L9" s="55">
        <v>0.15</v>
      </c>
    </row>
    <row r="10" spans="2:12" x14ac:dyDescent="0.25">
      <c r="C10" s="63"/>
      <c r="H10" s="42" t="s">
        <v>55</v>
      </c>
      <c r="I10" s="55">
        <v>0.5</v>
      </c>
      <c r="J10" s="42"/>
      <c r="K10" s="42" t="s">
        <v>56</v>
      </c>
      <c r="L10" s="55">
        <v>0.2</v>
      </c>
    </row>
    <row r="11" spans="2:12" x14ac:dyDescent="0.25">
      <c r="B11" s="48" t="s">
        <v>68</v>
      </c>
      <c r="C11" s="65">
        <f>Calculation!D7</f>
        <v>2024</v>
      </c>
      <c r="H11" s="42" t="s">
        <v>57</v>
      </c>
      <c r="I11" s="55">
        <v>0.4</v>
      </c>
      <c r="J11" s="42"/>
      <c r="K11" s="42"/>
      <c r="L11" s="42"/>
    </row>
    <row r="12" spans="2:12" x14ac:dyDescent="0.25">
      <c r="B12" s="48" t="s">
        <v>69</v>
      </c>
      <c r="C12" s="65">
        <f>Calculation!D8</f>
        <v>1999</v>
      </c>
      <c r="D12" s="64">
        <v>100</v>
      </c>
      <c r="H12" s="42" t="s">
        <v>58</v>
      </c>
      <c r="I12" s="55">
        <v>0.3</v>
      </c>
      <c r="J12" s="42"/>
      <c r="K12" s="42"/>
      <c r="L12" s="42"/>
    </row>
    <row r="13" spans="2:12" x14ac:dyDescent="0.25">
      <c r="B13" s="48" t="s">
        <v>70</v>
      </c>
      <c r="C13" s="65">
        <f>C11-C12</f>
        <v>25</v>
      </c>
      <c r="D13" s="64">
        <f>D12-C13</f>
        <v>75</v>
      </c>
    </row>
    <row r="15" spans="2:12" x14ac:dyDescent="0.25">
      <c r="B15" s="42" t="s">
        <v>59</v>
      </c>
      <c r="C15" s="51">
        <v>93700</v>
      </c>
      <c r="D15" s="42"/>
      <c r="E15" s="42"/>
      <c r="F15" s="42"/>
    </row>
    <row r="16" spans="2:12" x14ac:dyDescent="0.25">
      <c r="B16" s="42" t="s">
        <v>60</v>
      </c>
      <c r="C16" s="51">
        <f>C15*5%</f>
        <v>4685</v>
      </c>
      <c r="D16" s="42"/>
      <c r="E16" s="42"/>
      <c r="F16" s="42"/>
    </row>
    <row r="17" spans="2:6" x14ac:dyDescent="0.25">
      <c r="B17" s="42" t="s">
        <v>61</v>
      </c>
      <c r="C17" s="56">
        <f>C15+C16</f>
        <v>98385</v>
      </c>
      <c r="D17" s="57" t="s">
        <v>62</v>
      </c>
      <c r="E17" s="58">
        <f>C17/10.764</f>
        <v>9140.1895206243044</v>
      </c>
      <c r="F17" s="57" t="s">
        <v>63</v>
      </c>
    </row>
    <row r="18" spans="2:6" x14ac:dyDescent="0.25">
      <c r="B18" s="42" t="s">
        <v>65</v>
      </c>
      <c r="C18" s="51">
        <v>26620</v>
      </c>
      <c r="D18" s="42"/>
      <c r="E18" s="42"/>
      <c r="F18" s="42"/>
    </row>
    <row r="19" spans="2:6" x14ac:dyDescent="0.25">
      <c r="B19" s="42" t="s">
        <v>66</v>
      </c>
      <c r="C19" s="51">
        <f>C17-C18</f>
        <v>71765</v>
      </c>
      <c r="D19" s="42"/>
      <c r="E19" s="42"/>
      <c r="F19" s="42"/>
    </row>
    <row r="20" spans="2:6" ht="45" x14ac:dyDescent="0.25">
      <c r="B20" s="61" t="s">
        <v>67</v>
      </c>
      <c r="C20" s="51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6">
        <f>C19+C20</f>
        <v>93061</v>
      </c>
      <c r="D21" s="57" t="s">
        <v>62</v>
      </c>
      <c r="E21" s="58">
        <f>C21/10.764</f>
        <v>8645.5778520995918</v>
      </c>
      <c r="F21" s="5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47"/>
  <sheetViews>
    <sheetView topLeftCell="A12" workbookViewId="0">
      <selection activeCell="K16" sqref="K16:O2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57" t="s">
        <v>94</v>
      </c>
      <c r="M4" s="57"/>
      <c r="N4" s="57"/>
      <c r="O4" s="57"/>
      <c r="P4" s="57"/>
      <c r="Q4" s="57"/>
      <c r="R4" s="57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57">
        <v>3.15</v>
      </c>
      <c r="M5" s="57">
        <v>3.45</v>
      </c>
      <c r="N5" s="72">
        <f t="shared" ref="N5:N10" si="6">L5*M5</f>
        <v>10.8675</v>
      </c>
      <c r="O5" s="57"/>
      <c r="P5" s="57"/>
      <c r="Q5" s="57"/>
      <c r="R5" s="72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57">
        <v>2.4</v>
      </c>
      <c r="M6" s="57">
        <v>3.45</v>
      </c>
      <c r="N6" s="72">
        <f t="shared" si="6"/>
        <v>8.2799999999999994</v>
      </c>
      <c r="O6" s="57"/>
      <c r="P6" s="57"/>
      <c r="Q6" s="57"/>
      <c r="R6" s="72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57">
        <v>1.35</v>
      </c>
      <c r="M7" s="57">
        <v>1.1000000000000001</v>
      </c>
      <c r="N7" s="72">
        <f t="shared" si="6"/>
        <v>1.4850000000000003</v>
      </c>
      <c r="O7" s="57"/>
      <c r="P7" s="57"/>
      <c r="Q7" s="57"/>
      <c r="R7" s="72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57">
        <v>1.2</v>
      </c>
      <c r="M8" s="57">
        <v>0.9</v>
      </c>
      <c r="N8" s="72">
        <f t="shared" si="6"/>
        <v>1.08</v>
      </c>
      <c r="O8" s="57"/>
      <c r="P8" s="57"/>
      <c r="Q8" s="57"/>
      <c r="R8" s="72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57">
        <v>1.2</v>
      </c>
      <c r="M9" s="57">
        <v>1.5</v>
      </c>
      <c r="N9" s="72">
        <f t="shared" si="6"/>
        <v>1.7999999999999998</v>
      </c>
      <c r="O9" s="57"/>
      <c r="P9" s="57">
        <v>405</v>
      </c>
      <c r="Q9" s="57"/>
      <c r="R9" s="72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57">
        <v>2.5</v>
      </c>
      <c r="M10" s="57">
        <v>3.8</v>
      </c>
      <c r="N10" s="72">
        <f t="shared" si="6"/>
        <v>9.5</v>
      </c>
      <c r="O10" s="72">
        <f>N5+N6+N7+N8+N9+N10</f>
        <v>33.012500000000003</v>
      </c>
      <c r="P10" s="57">
        <f>O10*10.764</f>
        <v>355.34655000000004</v>
      </c>
      <c r="Q10" s="57">
        <f>P9/P10</f>
        <v>1.1397324667989599</v>
      </c>
      <c r="R10" s="72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57">
        <v>4.0999999999999996</v>
      </c>
      <c r="M11" s="57">
        <v>0.95</v>
      </c>
      <c r="N11" s="72">
        <f>L11*M11/2</f>
        <v>1.9474999999999998</v>
      </c>
      <c r="O11" s="57" t="s">
        <v>93</v>
      </c>
      <c r="P11" s="57">
        <f>N11*10.764</f>
        <v>20.962889999999998</v>
      </c>
      <c r="Q11" s="57"/>
      <c r="R11" s="72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57"/>
      <c r="M12" s="57"/>
      <c r="N12" s="73">
        <f>SUM(N5:N11)</f>
        <v>34.96</v>
      </c>
      <c r="O12" s="57"/>
      <c r="P12" s="57"/>
      <c r="Q12" s="57"/>
      <c r="R12" s="72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57"/>
      <c r="M13" s="57"/>
      <c r="N13" s="72">
        <f>N12*10.764</f>
        <v>376.30944</v>
      </c>
      <c r="O13" s="57">
        <f>405+50</f>
        <v>455</v>
      </c>
      <c r="P13" s="57"/>
      <c r="Q13" s="57"/>
      <c r="R13" s="72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57"/>
      <c r="M14" s="57"/>
      <c r="N14" s="73">
        <f>L14*M14</f>
        <v>0</v>
      </c>
      <c r="O14" s="57">
        <f>O13/N13</f>
        <v>1.2091113100962867</v>
      </c>
      <c r="P14" s="57"/>
      <c r="Q14" s="57"/>
      <c r="R14" s="72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3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57"/>
      <c r="L16" s="57" t="s">
        <v>95</v>
      </c>
      <c r="M16" s="57"/>
      <c r="N16" s="72"/>
      <c r="O16" s="57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57" t="s">
        <v>96</v>
      </c>
      <c r="L17" s="57">
        <v>2.0499999999999998</v>
      </c>
      <c r="M17" s="57">
        <v>2.25</v>
      </c>
      <c r="N17" s="72">
        <f>L17*M17</f>
        <v>4.6124999999999998</v>
      </c>
      <c r="O17" s="57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57" t="s">
        <v>97</v>
      </c>
      <c r="L18" s="57">
        <v>1.1000000000000001</v>
      </c>
      <c r="M18" s="57">
        <v>2.25</v>
      </c>
      <c r="N18" s="72">
        <f t="shared" ref="N18:N25" si="7">L18*M18</f>
        <v>2.4750000000000001</v>
      </c>
      <c r="O18" s="57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57" t="s">
        <v>98</v>
      </c>
      <c r="L19" s="57">
        <v>4.03</v>
      </c>
      <c r="M19" s="57">
        <v>3.15</v>
      </c>
      <c r="N19" s="72">
        <f t="shared" si="7"/>
        <v>12.6945</v>
      </c>
      <c r="O19" s="57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57" t="s">
        <v>99</v>
      </c>
      <c r="L20" s="57">
        <v>1.4</v>
      </c>
      <c r="M20" s="57">
        <v>1.1000000000000001</v>
      </c>
      <c r="N20" s="72">
        <f t="shared" si="7"/>
        <v>1.54</v>
      </c>
      <c r="O20" s="57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57" t="s">
        <v>100</v>
      </c>
      <c r="L21" s="57">
        <v>1.4</v>
      </c>
      <c r="M21" s="57">
        <v>0.9</v>
      </c>
      <c r="N21" s="72">
        <f t="shared" si="7"/>
        <v>1.26</v>
      </c>
      <c r="O21" s="57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57" t="s">
        <v>101</v>
      </c>
      <c r="L22" s="57">
        <v>3.05</v>
      </c>
      <c r="M22" s="57">
        <v>3.15</v>
      </c>
      <c r="N22" s="72">
        <f t="shared" si="7"/>
        <v>9.6074999999999999</v>
      </c>
      <c r="O22" s="57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57" t="s">
        <v>97</v>
      </c>
      <c r="L23" s="57">
        <v>1.4</v>
      </c>
      <c r="M23" s="57">
        <v>1.1499999999999999</v>
      </c>
      <c r="N23" s="72">
        <f t="shared" si="7"/>
        <v>1.6099999999999999</v>
      </c>
      <c r="O23" s="57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8">B24/12</f>
        <v>0</v>
      </c>
      <c r="F24" s="49">
        <f t="shared" si="8"/>
        <v>0</v>
      </c>
      <c r="G24" s="49">
        <f t="shared" si="8"/>
        <v>0</v>
      </c>
      <c r="H24" s="49">
        <f t="shared" si="8"/>
        <v>0</v>
      </c>
      <c r="I24" s="49">
        <f t="shared" si="8"/>
        <v>0</v>
      </c>
      <c r="J24" s="41">
        <f t="shared" si="5"/>
        <v>0</v>
      </c>
      <c r="K24" s="57" t="s">
        <v>102</v>
      </c>
      <c r="L24" s="57">
        <v>1</v>
      </c>
      <c r="M24" s="57">
        <v>3.15</v>
      </c>
      <c r="N24" s="72">
        <f t="shared" si="7"/>
        <v>3.15</v>
      </c>
      <c r="O24" s="75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8"/>
        <v>0</v>
      </c>
      <c r="F25" s="49">
        <f t="shared" si="8"/>
        <v>0</v>
      </c>
      <c r="G25" s="49">
        <f t="shared" si="8"/>
        <v>0</v>
      </c>
      <c r="H25" s="49">
        <f t="shared" si="8"/>
        <v>0</v>
      </c>
      <c r="I25" s="49">
        <f t="shared" si="8"/>
        <v>0</v>
      </c>
      <c r="J25" s="41">
        <f t="shared" si="5"/>
        <v>0</v>
      </c>
      <c r="K25" s="57" t="s">
        <v>103</v>
      </c>
      <c r="L25" s="57">
        <v>0.45</v>
      </c>
      <c r="M25" s="57">
        <v>3.15</v>
      </c>
      <c r="N25" s="72">
        <f t="shared" si="7"/>
        <v>1.4175</v>
      </c>
      <c r="O25" s="57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8"/>
        <v>0</v>
      </c>
      <c r="F26" s="49">
        <f t="shared" si="8"/>
        <v>0</v>
      </c>
      <c r="G26" s="49">
        <f t="shared" si="8"/>
        <v>0</v>
      </c>
      <c r="H26" s="49">
        <f t="shared" si="8"/>
        <v>0</v>
      </c>
      <c r="I26" s="49">
        <f t="shared" si="8"/>
        <v>0</v>
      </c>
      <c r="J26" s="41">
        <f t="shared" si="5"/>
        <v>0</v>
      </c>
      <c r="K26" s="57"/>
      <c r="L26" s="57"/>
      <c r="M26" s="57"/>
      <c r="N26" s="72">
        <f>SUM(N17:N25)</f>
        <v>38.366999999999997</v>
      </c>
      <c r="O26" s="57">
        <f>N26*10.764</f>
        <v>412.98238799999996</v>
      </c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8"/>
        <v>0</v>
      </c>
      <c r="F27" s="49">
        <f t="shared" si="8"/>
        <v>0</v>
      </c>
      <c r="G27" s="49">
        <f t="shared" si="8"/>
        <v>0</v>
      </c>
      <c r="H27" s="49">
        <f t="shared" si="8"/>
        <v>0</v>
      </c>
      <c r="I27" s="49">
        <f t="shared" si="8"/>
        <v>0</v>
      </c>
      <c r="J27" s="41">
        <f t="shared" si="5"/>
        <v>0</v>
      </c>
      <c r="K27" s="57"/>
      <c r="L27" s="57"/>
      <c r="M27" s="57"/>
      <c r="N27" s="57"/>
      <c r="O27" s="57">
        <v>455</v>
      </c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8"/>
        <v>0</v>
      </c>
      <c r="F28" s="49">
        <f t="shared" si="8"/>
        <v>0</v>
      </c>
      <c r="G28" s="49">
        <f t="shared" si="8"/>
        <v>0</v>
      </c>
      <c r="H28" s="49">
        <f t="shared" si="8"/>
        <v>0</v>
      </c>
      <c r="I28" s="49">
        <f t="shared" si="8"/>
        <v>0</v>
      </c>
      <c r="J28" s="41">
        <f t="shared" si="5"/>
        <v>0</v>
      </c>
      <c r="K28" s="57"/>
      <c r="L28" s="57"/>
      <c r="M28" s="57"/>
      <c r="N28" s="57"/>
      <c r="O28" s="57">
        <f>O27/O26</f>
        <v>1.1017418980104305</v>
      </c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8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9">G29*H29</f>
        <v>0</v>
      </c>
      <c r="J29" s="41">
        <f t="shared" si="5"/>
        <v>0</v>
      </c>
      <c r="K29" s="42"/>
      <c r="L29" s="42"/>
      <c r="M29" s="42"/>
      <c r="N29" s="42"/>
      <c r="O29" s="42"/>
      <c r="P29" s="51"/>
      <c r="Q29" s="51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8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9"/>
        <v>0</v>
      </c>
      <c r="J30" s="41">
        <f t="shared" si="5"/>
        <v>0</v>
      </c>
      <c r="K30" s="42"/>
      <c r="L30" s="42"/>
      <c r="M30" s="42"/>
      <c r="N30" s="42"/>
      <c r="O30" s="42"/>
      <c r="P30" s="52"/>
      <c r="Q30" s="52"/>
      <c r="R30" s="42"/>
    </row>
    <row r="31" spans="1:21" x14ac:dyDescent="0.25">
      <c r="K31" t="s">
        <v>104</v>
      </c>
    </row>
    <row r="32" spans="1:21" x14ac:dyDescent="0.25">
      <c r="L32">
        <v>13</v>
      </c>
      <c r="M32">
        <v>11.5</v>
      </c>
      <c r="N32">
        <f>L32*M32</f>
        <v>149.5</v>
      </c>
    </row>
    <row r="33" spans="12:17" x14ac:dyDescent="0.25">
      <c r="L33">
        <v>13.29</v>
      </c>
      <c r="M33" s="6">
        <v>7.5</v>
      </c>
      <c r="N33">
        <f t="shared" ref="N33:N38" si="10">L33*M33</f>
        <v>99.674999999999997</v>
      </c>
      <c r="P33" s="53"/>
      <c r="Q33" s="53"/>
    </row>
    <row r="34" spans="12:17" x14ac:dyDescent="0.25">
      <c r="L34">
        <v>5</v>
      </c>
      <c r="M34" s="6">
        <v>3</v>
      </c>
      <c r="N34">
        <f t="shared" si="10"/>
        <v>15</v>
      </c>
    </row>
    <row r="35" spans="12:17" x14ac:dyDescent="0.25">
      <c r="L35">
        <v>3.24</v>
      </c>
      <c r="M35" s="6">
        <v>4.4800000000000004</v>
      </c>
      <c r="N35">
        <f t="shared" si="10"/>
        <v>14.515200000000002</v>
      </c>
    </row>
    <row r="36" spans="12:17" x14ac:dyDescent="0.25">
      <c r="L36">
        <v>3.65</v>
      </c>
      <c r="M36" s="6">
        <v>4.71</v>
      </c>
      <c r="N36">
        <f t="shared" si="10"/>
        <v>17.191499999999998</v>
      </c>
    </row>
    <row r="37" spans="12:17" x14ac:dyDescent="0.25">
      <c r="L37">
        <v>12.8</v>
      </c>
      <c r="M37" s="6">
        <v>10.27</v>
      </c>
      <c r="N37">
        <f t="shared" si="10"/>
        <v>131.45599999999999</v>
      </c>
    </row>
    <row r="38" spans="12:17" x14ac:dyDescent="0.25">
      <c r="L38">
        <v>8.66</v>
      </c>
      <c r="M38" s="6">
        <v>2.1</v>
      </c>
      <c r="N38">
        <f t="shared" si="10"/>
        <v>18.186</v>
      </c>
    </row>
    <row r="39" spans="12:17" x14ac:dyDescent="0.25">
      <c r="N39" s="6">
        <f>SUM(N32:N38)</f>
        <v>445.52370000000002</v>
      </c>
    </row>
    <row r="41" spans="12:17" x14ac:dyDescent="0.25">
      <c r="L41">
        <v>2.76</v>
      </c>
      <c r="M41" s="6">
        <v>1.56</v>
      </c>
      <c r="N41">
        <f>L41*M41</f>
        <v>4.3056000000000001</v>
      </c>
    </row>
    <row r="42" spans="12:17" x14ac:dyDescent="0.25">
      <c r="L42">
        <v>2.64</v>
      </c>
      <c r="M42" s="6">
        <v>2.0299999999999998</v>
      </c>
      <c r="N42">
        <f t="shared" ref="N42:N44" si="11">L42*M42</f>
        <v>5.3591999999999995</v>
      </c>
    </row>
    <row r="43" spans="12:17" x14ac:dyDescent="0.25">
      <c r="L43">
        <v>2.76</v>
      </c>
      <c r="M43" s="6">
        <v>1.56</v>
      </c>
      <c r="N43">
        <f t="shared" si="11"/>
        <v>4.3056000000000001</v>
      </c>
    </row>
    <row r="44" spans="12:17" x14ac:dyDescent="0.25">
      <c r="L44">
        <v>2.64</v>
      </c>
      <c r="M44" s="6">
        <v>2.0299999999999998</v>
      </c>
      <c r="N44">
        <f t="shared" si="11"/>
        <v>5.3591999999999995</v>
      </c>
    </row>
    <row r="45" spans="12:17" x14ac:dyDescent="0.25">
      <c r="N45" s="6">
        <f>SUM(N41:N44)</f>
        <v>19.329599999999999</v>
      </c>
    </row>
    <row r="47" spans="12:17" x14ac:dyDescent="0.25">
      <c r="N47">
        <f>N45+N39</f>
        <v>464.85329999999999</v>
      </c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33000</v>
      </c>
      <c r="D3" s="22" t="s">
        <v>76</v>
      </c>
      <c r="E3" s="6" t="s">
        <v>77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30300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25</v>
      </c>
      <c r="D7" s="24">
        <v>2024</v>
      </c>
    </row>
    <row r="8" spans="1:5" x14ac:dyDescent="0.25">
      <c r="A8" s="15" t="s">
        <v>18</v>
      </c>
      <c r="B8" s="23"/>
      <c r="C8" s="24">
        <f>C9-C7</f>
        <v>35</v>
      </c>
      <c r="D8" s="24">
        <v>1999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37.5</v>
      </c>
      <c r="D10" s="24"/>
    </row>
    <row r="11" spans="1:5" x14ac:dyDescent="0.25">
      <c r="A11" s="15"/>
      <c r="B11" s="25"/>
      <c r="C11" s="26">
        <f>C10%</f>
        <v>0.375</v>
      </c>
      <c r="D11" s="26"/>
    </row>
    <row r="12" spans="1:5" x14ac:dyDescent="0.25">
      <c r="A12" s="15" t="s">
        <v>21</v>
      </c>
      <c r="B12" s="18"/>
      <c r="C12" s="19">
        <f>C6*C11</f>
        <v>1012.5</v>
      </c>
      <c r="D12" s="22"/>
    </row>
    <row r="13" spans="1:5" x14ac:dyDescent="0.25">
      <c r="A13" s="15" t="s">
        <v>22</v>
      </c>
      <c r="B13" s="18"/>
      <c r="C13" s="19">
        <f>C6-C12</f>
        <v>1687.5</v>
      </c>
      <c r="D13" s="22"/>
    </row>
    <row r="14" spans="1:5" x14ac:dyDescent="0.25">
      <c r="A14" s="15" t="s">
        <v>15</v>
      </c>
      <c r="B14" s="18"/>
      <c r="C14" s="19">
        <f>C5</f>
        <v>30300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</f>
        <v>31987.5</v>
      </c>
      <c r="D16" s="22"/>
    </row>
    <row r="17" spans="1:5" x14ac:dyDescent="0.25">
      <c r="B17" s="23"/>
      <c r="C17" s="24"/>
      <c r="D17" s="24"/>
    </row>
    <row r="18" spans="1:5" x14ac:dyDescent="0.25">
      <c r="A18" s="69" t="str">
        <f>E3</f>
        <v>BUA</v>
      </c>
      <c r="B18" s="7"/>
      <c r="C18" s="29">
        <v>455</v>
      </c>
      <c r="D18" s="24"/>
    </row>
    <row r="19" spans="1:5" x14ac:dyDescent="0.25">
      <c r="A19" s="15" t="s">
        <v>74</v>
      </c>
      <c r="B19" s="6"/>
      <c r="C19" s="30">
        <f>C18*C16-0.5</f>
        <v>14554312</v>
      </c>
      <c r="D19" s="31"/>
      <c r="E19" s="64"/>
    </row>
    <row r="20" spans="1:5" x14ac:dyDescent="0.25">
      <c r="A20" s="15" t="s">
        <v>24</v>
      </c>
      <c r="C20" s="32">
        <f>C19*90%</f>
        <v>13098880.800000001</v>
      </c>
      <c r="D20" s="30"/>
    </row>
    <row r="21" spans="1:5" x14ac:dyDescent="0.25">
      <c r="A21" s="15" t="s">
        <v>25</v>
      </c>
      <c r="C21" s="32">
        <f>C19*80%</f>
        <v>11643449.600000001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1228500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30321.483333333337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A10" workbookViewId="0">
      <selection activeCell="T42" sqref="T4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180.02790000000002</v>
      </c>
      <c r="C2" s="4">
        <f t="shared" ref="C2:C16" si="1">B2*1.2</f>
        <v>216.03348000000003</v>
      </c>
      <c r="D2" s="4">
        <f t="shared" ref="D2:D16" si="2">C2*1.2</f>
        <v>259.24017600000002</v>
      </c>
      <c r="E2" s="5">
        <f t="shared" ref="E2:E16" si="3">R2</f>
        <v>7000000</v>
      </c>
      <c r="F2" s="4">
        <f t="shared" ref="F2:F15" si="4">ROUND((E2/B2),0)</f>
        <v>38883</v>
      </c>
      <c r="G2" s="70">
        <f t="shared" ref="G2:G15" si="5">ROUND((E2/C2),0)</f>
        <v>32402</v>
      </c>
      <c r="H2" s="70">
        <f t="shared" ref="H2:H15" si="6">ROUND((E2/D2),0)</f>
        <v>27002</v>
      </c>
      <c r="I2" s="70">
        <f t="shared" ref="I2:I15" si="7">T2</f>
        <v>0</v>
      </c>
      <c r="J2" s="70">
        <f t="shared" ref="J2:J15" si="8">U2</f>
        <v>0</v>
      </c>
      <c r="K2" s="7"/>
      <c r="L2" s="7"/>
      <c r="M2" s="7"/>
      <c r="N2" s="7"/>
      <c r="O2" s="7">
        <v>0</v>
      </c>
      <c r="P2" s="7">
        <f>20.07*10.764</f>
        <v>216.03348</v>
      </c>
      <c r="Q2" s="7">
        <f t="shared" ref="Q2:Q10" si="9">P2/1.2</f>
        <v>180.02790000000002</v>
      </c>
      <c r="R2" s="71">
        <v>7000000</v>
      </c>
      <c r="S2" s="71" t="s">
        <v>87</v>
      </c>
    </row>
    <row r="3" spans="1:19" x14ac:dyDescent="0.25">
      <c r="A3" s="4">
        <v>2</v>
      </c>
      <c r="B3" s="4">
        <f t="shared" si="0"/>
        <v>458.09790000000004</v>
      </c>
      <c r="C3" s="4">
        <f t="shared" si="1"/>
        <v>549.71748000000002</v>
      </c>
      <c r="D3" s="4">
        <f t="shared" si="2"/>
        <v>659.66097600000001</v>
      </c>
      <c r="E3" s="5">
        <f t="shared" si="3"/>
        <v>13000000</v>
      </c>
      <c r="F3" s="4">
        <f t="shared" si="4"/>
        <v>28378</v>
      </c>
      <c r="G3" s="4">
        <f t="shared" si="5"/>
        <v>23649</v>
      </c>
      <c r="H3" s="4">
        <f t="shared" si="6"/>
        <v>19707</v>
      </c>
      <c r="I3" s="4">
        <f t="shared" si="7"/>
        <v>0</v>
      </c>
      <c r="J3" s="4">
        <f t="shared" si="8"/>
        <v>0</v>
      </c>
      <c r="O3">
        <v>0</v>
      </c>
      <c r="P3">
        <f>51.07*10.764</f>
        <v>549.71748000000002</v>
      </c>
      <c r="Q3">
        <f t="shared" si="9"/>
        <v>458.09790000000004</v>
      </c>
      <c r="R3" s="2">
        <v>13000000</v>
      </c>
      <c r="S3" s="2" t="s">
        <v>88</v>
      </c>
    </row>
    <row r="4" spans="1:19" x14ac:dyDescent="0.25">
      <c r="A4" s="4">
        <v>3</v>
      </c>
      <c r="B4" s="4">
        <f t="shared" si="0"/>
        <v>611</v>
      </c>
      <c r="C4" s="4">
        <f t="shared" si="1"/>
        <v>733.19999999999993</v>
      </c>
      <c r="D4" s="4">
        <f t="shared" si="2"/>
        <v>879.83999999999992</v>
      </c>
      <c r="E4" s="5">
        <f t="shared" si="3"/>
        <v>27500000</v>
      </c>
      <c r="F4" s="4">
        <f t="shared" si="4"/>
        <v>45008</v>
      </c>
      <c r="G4" s="4">
        <f t="shared" si="5"/>
        <v>37507</v>
      </c>
      <c r="H4" s="4">
        <f t="shared" si="6"/>
        <v>31256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611</v>
      </c>
      <c r="R4" s="2">
        <v>27500000</v>
      </c>
      <c r="S4" s="2" t="s">
        <v>89</v>
      </c>
    </row>
    <row r="5" spans="1:19" x14ac:dyDescent="0.25">
      <c r="A5" s="4">
        <v>4</v>
      </c>
      <c r="B5" s="4">
        <f t="shared" si="0"/>
        <v>900.31889999999999</v>
      </c>
      <c r="C5" s="4">
        <f t="shared" si="1"/>
        <v>1080.3826799999999</v>
      </c>
      <c r="D5" s="4">
        <f t="shared" si="2"/>
        <v>1296.459216</v>
      </c>
      <c r="E5" s="5">
        <f t="shared" si="3"/>
        <v>25000000</v>
      </c>
      <c r="F5" s="4">
        <f t="shared" si="4"/>
        <v>27768</v>
      </c>
      <c r="G5" s="4">
        <f t="shared" si="5"/>
        <v>23140</v>
      </c>
      <c r="H5" s="4">
        <f t="shared" si="6"/>
        <v>19283</v>
      </c>
      <c r="I5" s="4">
        <f t="shared" si="7"/>
        <v>0</v>
      </c>
      <c r="J5" s="4">
        <f t="shared" si="8"/>
        <v>0</v>
      </c>
      <c r="O5">
        <v>0</v>
      </c>
      <c r="P5">
        <f>100.37*10.764</f>
        <v>1080.3826799999999</v>
      </c>
      <c r="Q5">
        <f t="shared" si="9"/>
        <v>900.31889999999999</v>
      </c>
      <c r="R5" s="2">
        <v>25000000</v>
      </c>
      <c r="S5" s="2" t="s">
        <v>90</v>
      </c>
    </row>
    <row r="6" spans="1:19" x14ac:dyDescent="0.25">
      <c r="A6" s="4">
        <v>5</v>
      </c>
      <c r="B6" s="4">
        <f t="shared" si="0"/>
        <v>354.16666666666669</v>
      </c>
      <c r="C6" s="4">
        <f t="shared" si="1"/>
        <v>425</v>
      </c>
      <c r="D6" s="4">
        <f t="shared" si="2"/>
        <v>510</v>
      </c>
      <c r="E6" s="5">
        <f t="shared" si="3"/>
        <v>16100000</v>
      </c>
      <c r="F6" s="4">
        <f t="shared" si="4"/>
        <v>45459</v>
      </c>
      <c r="G6" s="70">
        <f t="shared" si="5"/>
        <v>37882</v>
      </c>
      <c r="H6" s="70">
        <f t="shared" si="6"/>
        <v>31569</v>
      </c>
      <c r="I6" s="70">
        <f t="shared" si="7"/>
        <v>0</v>
      </c>
      <c r="J6" s="70">
        <f t="shared" si="8"/>
        <v>0</v>
      </c>
      <c r="K6" s="7"/>
      <c r="L6" s="7"/>
      <c r="M6" s="7"/>
      <c r="N6" s="7"/>
      <c r="O6" s="7">
        <v>0</v>
      </c>
      <c r="P6" s="7">
        <v>425</v>
      </c>
      <c r="Q6" s="7">
        <f t="shared" si="9"/>
        <v>354.16666666666669</v>
      </c>
      <c r="R6" s="71">
        <v>16100000</v>
      </c>
      <c r="S6" s="2"/>
    </row>
    <row r="7" spans="1:19" x14ac:dyDescent="0.25">
      <c r="A7" s="4">
        <v>6</v>
      </c>
      <c r="B7" s="4">
        <f t="shared" si="0"/>
        <v>501.66666666666669</v>
      </c>
      <c r="C7" s="4">
        <f t="shared" si="1"/>
        <v>602</v>
      </c>
      <c r="D7" s="4">
        <f t="shared" si="2"/>
        <v>722.4</v>
      </c>
      <c r="E7" s="5">
        <f t="shared" si="3"/>
        <v>21000000</v>
      </c>
      <c r="F7" s="4">
        <f t="shared" si="4"/>
        <v>41860</v>
      </c>
      <c r="G7" s="70">
        <f t="shared" si="5"/>
        <v>34884</v>
      </c>
      <c r="H7" s="70">
        <f t="shared" si="6"/>
        <v>29070</v>
      </c>
      <c r="I7" s="70">
        <f t="shared" si="7"/>
        <v>0</v>
      </c>
      <c r="J7" s="70">
        <f t="shared" si="8"/>
        <v>0</v>
      </c>
      <c r="K7" s="7"/>
      <c r="L7" s="7"/>
      <c r="M7" s="7"/>
      <c r="N7" s="7"/>
      <c r="O7" s="7">
        <v>0</v>
      </c>
      <c r="P7" s="7">
        <v>602</v>
      </c>
      <c r="Q7" s="7">
        <f t="shared" si="9"/>
        <v>501.66666666666669</v>
      </c>
      <c r="R7" s="71">
        <v>21000000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7"/>
    </row>
    <row r="25" spans="1:19" s="10" customFormat="1" x14ac:dyDescent="0.25">
      <c r="F25" s="51" t="s">
        <v>92</v>
      </c>
      <c r="G25" s="51">
        <v>376</v>
      </c>
    </row>
    <row r="26" spans="1:19" s="10" customFormat="1" x14ac:dyDescent="0.25">
      <c r="F26" s="51" t="s">
        <v>71</v>
      </c>
      <c r="G26" s="51">
        <v>481</v>
      </c>
      <c r="H26" s="10">
        <f>G26/G25</f>
        <v>1.2792553191489362</v>
      </c>
    </row>
    <row r="27" spans="1:19" s="10" customFormat="1" x14ac:dyDescent="0.25">
      <c r="F27" s="51" t="s">
        <v>72</v>
      </c>
      <c r="G27" s="51">
        <v>405</v>
      </c>
    </row>
    <row r="28" spans="1:19" s="10" customFormat="1" x14ac:dyDescent="0.25">
      <c r="C28" s="66" t="s">
        <v>75</v>
      </c>
      <c r="D28" s="66" t="s">
        <v>85</v>
      </c>
      <c r="F28" s="51" t="s">
        <v>86</v>
      </c>
      <c r="G28" s="51">
        <v>50</v>
      </c>
    </row>
    <row r="29" spans="1:19" s="10" customFormat="1" x14ac:dyDescent="0.25">
      <c r="C29" s="66" t="s">
        <v>1</v>
      </c>
      <c r="D29" s="66">
        <v>12000000</v>
      </c>
      <c r="F29" s="51" t="s">
        <v>91</v>
      </c>
      <c r="G29" s="51">
        <f>SUM(G27:G28)</f>
        <v>455</v>
      </c>
      <c r="H29" s="10">
        <f>G29/G28</f>
        <v>9.1</v>
      </c>
      <c r="I29" s="10">
        <f>D29/G28</f>
        <v>240000</v>
      </c>
      <c r="J29" s="10">
        <f>G29/G25</f>
        <v>1.2101063829787233</v>
      </c>
    </row>
    <row r="30" spans="1:19" s="10" customFormat="1" x14ac:dyDescent="0.25">
      <c r="F30" s="51" t="s">
        <v>73</v>
      </c>
      <c r="G30" s="51">
        <v>32000</v>
      </c>
    </row>
    <row r="31" spans="1:19" s="10" customFormat="1" x14ac:dyDescent="0.25">
      <c r="C31" s="68"/>
      <c r="D31" s="68"/>
      <c r="F31" s="68" t="s">
        <v>74</v>
      </c>
      <c r="G31" s="68">
        <f>G29*G30</f>
        <v>14560000</v>
      </c>
      <c r="H31" s="10">
        <f>G31/D29</f>
        <v>1.2133333333333334</v>
      </c>
    </row>
    <row r="32" spans="1:19" s="10" customFormat="1" x14ac:dyDescent="0.25">
      <c r="C32" s="68"/>
      <c r="D32" s="68"/>
      <c r="F32" s="68" t="s">
        <v>24</v>
      </c>
      <c r="G32" s="68">
        <f>G31*90%</f>
        <v>13104000</v>
      </c>
    </row>
    <row r="33" spans="3:7" s="10" customFormat="1" x14ac:dyDescent="0.25">
      <c r="C33" s="68"/>
      <c r="D33" s="68"/>
      <c r="F33" s="68" t="s">
        <v>25</v>
      </c>
      <c r="G33" s="68">
        <f>G31*80%</f>
        <v>11648000</v>
      </c>
    </row>
    <row r="34" spans="3:7" s="10" customFormat="1" x14ac:dyDescent="0.25">
      <c r="C34" s="68"/>
      <c r="D34" s="68"/>
    </row>
    <row r="35" spans="3:7" s="10" customFormat="1" x14ac:dyDescent="0.25">
      <c r="C35" s="68"/>
      <c r="D35" s="68"/>
    </row>
    <row r="36" spans="3:7" s="10" customFormat="1" x14ac:dyDescent="0.25">
      <c r="G36" s="10">
        <v>376</v>
      </c>
    </row>
    <row r="37" spans="3:7" s="10" customFormat="1" x14ac:dyDescent="0.25">
      <c r="G37" s="10">
        <v>450</v>
      </c>
    </row>
    <row r="38" spans="3:7" s="10" customFormat="1" x14ac:dyDescent="0.25">
      <c r="G38" s="10">
        <f>G37/G36</f>
        <v>1.196808510638298</v>
      </c>
    </row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2024-06-12T09:56:35Z</dcterms:modified>
</cp:coreProperties>
</file>