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New Bombay Paper Mill Pvt. Ltd. - Karjat\"/>
    </mc:Choice>
  </mc:AlternateContent>
  <xr:revisionPtr revIDLastSave="0" documentId="13_ncr:1_{F27B4BFD-A40F-418F-AE2F-A812F7CEEF3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evious Vastukala" sheetId="4" r:id="rId1"/>
    <sheet name="Final - Vastukala" sheetId="10" r:id="rId2"/>
    <sheet name="Yogesh" sheetId="13" r:id="rId3"/>
    <sheet name="Sheet1" sheetId="5" r:id="rId4"/>
    <sheet name="Sheet2" sheetId="6" r:id="rId5"/>
  </sheets>
  <definedNames>
    <definedName name="_Hlk170490742" localSheetId="1">'Final - Vastukala'!$O$36</definedName>
  </definedNames>
  <calcPr calcId="191029"/>
</workbook>
</file>

<file path=xl/calcChain.xml><?xml version="1.0" encoding="utf-8"?>
<calcChain xmlns="http://schemas.openxmlformats.org/spreadsheetml/2006/main">
  <c r="I8" i="13" l="1"/>
  <c r="I7" i="13"/>
  <c r="J4" i="13"/>
  <c r="J72" i="13"/>
  <c r="J71" i="13"/>
  <c r="J70" i="13"/>
  <c r="J69" i="13"/>
  <c r="J66" i="13"/>
  <c r="J65" i="13"/>
  <c r="J61" i="13"/>
  <c r="J58" i="13"/>
  <c r="J57" i="13"/>
  <c r="J56" i="13"/>
  <c r="J59" i="13" s="1"/>
  <c r="J54" i="13"/>
  <c r="J53" i="13"/>
  <c r="J50" i="13"/>
  <c r="R49" i="13"/>
  <c r="J49" i="13"/>
  <c r="J48" i="13"/>
  <c r="J47" i="13"/>
  <c r="J51" i="13" s="1"/>
  <c r="J44" i="13"/>
  <c r="C29" i="13"/>
  <c r="C35" i="13" s="1"/>
  <c r="C24" i="13"/>
  <c r="C34" i="13" s="1"/>
  <c r="C19" i="13"/>
  <c r="O18" i="13"/>
  <c r="H18" i="13"/>
  <c r="J18" i="13" s="1"/>
  <c r="K18" i="13" s="1"/>
  <c r="L18" i="13" s="1"/>
  <c r="N18" i="13" s="1"/>
  <c r="M18" i="13" s="1"/>
  <c r="O17" i="13"/>
  <c r="H17" i="13"/>
  <c r="J17" i="13" s="1"/>
  <c r="K17" i="13" s="1"/>
  <c r="L17" i="13" s="1"/>
  <c r="N17" i="13" s="1"/>
  <c r="M17" i="13" s="1"/>
  <c r="O16" i="13"/>
  <c r="H16" i="13"/>
  <c r="J16" i="13" s="1"/>
  <c r="K16" i="13" s="1"/>
  <c r="L16" i="13" s="1"/>
  <c r="N16" i="13" s="1"/>
  <c r="M16" i="13" s="1"/>
  <c r="O15" i="13"/>
  <c r="H15" i="13"/>
  <c r="J15" i="13" s="1"/>
  <c r="K15" i="13" s="1"/>
  <c r="L15" i="13" s="1"/>
  <c r="N15" i="13" s="1"/>
  <c r="M15" i="13" s="1"/>
  <c r="O14" i="13"/>
  <c r="H14" i="13"/>
  <c r="J14" i="13" s="1"/>
  <c r="K14" i="13" s="1"/>
  <c r="L14" i="13" s="1"/>
  <c r="N14" i="13" s="1"/>
  <c r="M14" i="13" s="1"/>
  <c r="O13" i="13"/>
  <c r="O19" i="13" s="1"/>
  <c r="H13" i="13"/>
  <c r="J13" i="13" s="1"/>
  <c r="K13" i="13" s="1"/>
  <c r="L13" i="13" s="1"/>
  <c r="N13" i="13" s="1"/>
  <c r="C9" i="13"/>
  <c r="F7" i="13"/>
  <c r="C4" i="13"/>
  <c r="L3" i="13"/>
  <c r="I3" i="13"/>
  <c r="J2" i="13"/>
  <c r="L2" i="13" s="1"/>
  <c r="F2" i="13"/>
  <c r="L3" i="10"/>
  <c r="F7" i="10"/>
  <c r="C9" i="10"/>
  <c r="J72" i="10"/>
  <c r="J71" i="10"/>
  <c r="J70" i="10"/>
  <c r="J69" i="10"/>
  <c r="J66" i="10"/>
  <c r="J65" i="10"/>
  <c r="J61" i="10"/>
  <c r="J59" i="10"/>
  <c r="J58" i="10"/>
  <c r="J57" i="10"/>
  <c r="J56" i="10"/>
  <c r="J54" i="10"/>
  <c r="J53" i="10"/>
  <c r="J50" i="10"/>
  <c r="J49" i="10"/>
  <c r="J48" i="10"/>
  <c r="J47" i="10"/>
  <c r="J44" i="10"/>
  <c r="R49" i="10"/>
  <c r="C19" i="10"/>
  <c r="C29" i="10"/>
  <c r="C35" i="10" s="1"/>
  <c r="C24" i="10"/>
  <c r="C34" i="10" s="1"/>
  <c r="O18" i="10"/>
  <c r="H18" i="10"/>
  <c r="J18" i="10" s="1"/>
  <c r="K18" i="10" s="1"/>
  <c r="L18" i="10" s="1"/>
  <c r="N18" i="10" s="1"/>
  <c r="O17" i="10"/>
  <c r="H17" i="10"/>
  <c r="J17" i="10" s="1"/>
  <c r="K17" i="10" s="1"/>
  <c r="L17" i="10" s="1"/>
  <c r="N17" i="10" s="1"/>
  <c r="O16" i="10"/>
  <c r="H16" i="10"/>
  <c r="J16" i="10" s="1"/>
  <c r="K16" i="10" s="1"/>
  <c r="L16" i="10" s="1"/>
  <c r="N16" i="10" s="1"/>
  <c r="O15" i="10"/>
  <c r="H15" i="10"/>
  <c r="J15" i="10" s="1"/>
  <c r="K15" i="10" s="1"/>
  <c r="L15" i="10" s="1"/>
  <c r="N15" i="10" s="1"/>
  <c r="O14" i="10"/>
  <c r="H14" i="10"/>
  <c r="J14" i="10" s="1"/>
  <c r="K14" i="10" s="1"/>
  <c r="L14" i="10" s="1"/>
  <c r="N14" i="10" s="1"/>
  <c r="O13" i="10"/>
  <c r="H13" i="10"/>
  <c r="J13" i="10" s="1"/>
  <c r="K13" i="10" s="1"/>
  <c r="L13" i="10" s="1"/>
  <c r="N13" i="10" s="1"/>
  <c r="I3" i="10"/>
  <c r="J2" i="10"/>
  <c r="F2" i="10"/>
  <c r="C4" i="10"/>
  <c r="C32" i="13" l="1"/>
  <c r="N19" i="13"/>
  <c r="M13" i="13"/>
  <c r="M19" i="13" s="1"/>
  <c r="I13" i="13"/>
  <c r="I14" i="13"/>
  <c r="I15" i="13"/>
  <c r="I16" i="13"/>
  <c r="I17" i="13"/>
  <c r="I18" i="13"/>
  <c r="C32" i="10"/>
  <c r="J51" i="10"/>
  <c r="I17" i="10"/>
  <c r="L2" i="10"/>
  <c r="M16" i="10"/>
  <c r="I15" i="10"/>
  <c r="I14" i="10"/>
  <c r="I18" i="10"/>
  <c r="I16" i="10"/>
  <c r="M17" i="10"/>
  <c r="I13" i="10"/>
  <c r="O19" i="10"/>
  <c r="N19" i="10"/>
  <c r="M15" i="10"/>
  <c r="M14" i="10"/>
  <c r="M18" i="10"/>
  <c r="M13" i="10"/>
  <c r="L4" i="13" l="1"/>
  <c r="L5" i="13" s="1"/>
  <c r="C33" i="13"/>
  <c r="M19" i="10"/>
  <c r="C33" i="10"/>
  <c r="L4" i="10"/>
  <c r="L5" i="10" s="1"/>
  <c r="C39" i="13" l="1"/>
  <c r="C36" i="13"/>
  <c r="C39" i="10"/>
  <c r="C36" i="10"/>
  <c r="C38" i="13" l="1"/>
  <c r="C37" i="13"/>
  <c r="E37" i="13" s="1"/>
  <c r="P4" i="13"/>
  <c r="R4" i="13" s="1"/>
  <c r="P3" i="13"/>
  <c r="R3" i="13" s="1"/>
  <c r="P2" i="13"/>
  <c r="R2" i="13" s="1"/>
  <c r="C38" i="10"/>
  <c r="C37" i="10"/>
  <c r="E37" i="10" s="1"/>
  <c r="P4" i="10"/>
  <c r="R4" i="10" s="1"/>
  <c r="P3" i="10"/>
  <c r="R3" i="10" s="1"/>
  <c r="P2" i="10"/>
  <c r="R2" i="10" s="1"/>
  <c r="C51" i="4" l="1"/>
  <c r="I11" i="4"/>
  <c r="I10" i="4"/>
  <c r="I9" i="4"/>
  <c r="G9" i="4"/>
  <c r="C31" i="4"/>
  <c r="Q28" i="4"/>
  <c r="N31" i="4"/>
  <c r="O28" i="4" l="1"/>
  <c r="H28" i="4"/>
  <c r="J28" i="4" s="1"/>
  <c r="K28" i="4" s="1"/>
  <c r="L28" i="4" s="1"/>
  <c r="N28" i="4" s="1"/>
  <c r="O27" i="4"/>
  <c r="H27" i="4"/>
  <c r="J27" i="4" s="1"/>
  <c r="K27" i="4" s="1"/>
  <c r="L27" i="4" s="1"/>
  <c r="N27" i="4" s="1"/>
  <c r="M27" i="4" s="1"/>
  <c r="O26" i="4"/>
  <c r="H26" i="4"/>
  <c r="J26" i="4" s="1"/>
  <c r="K26" i="4" s="1"/>
  <c r="L26" i="4" s="1"/>
  <c r="N26" i="4" s="1"/>
  <c r="M26" i="4" s="1"/>
  <c r="O25" i="4"/>
  <c r="H25" i="4"/>
  <c r="J25" i="4" s="1"/>
  <c r="K25" i="4" s="1"/>
  <c r="L25" i="4" s="1"/>
  <c r="N25" i="4" s="1"/>
  <c r="M25" i="4" s="1"/>
  <c r="O24" i="4"/>
  <c r="H24" i="4"/>
  <c r="J24" i="4" s="1"/>
  <c r="K24" i="4" s="1"/>
  <c r="L24" i="4" s="1"/>
  <c r="N24" i="4" s="1"/>
  <c r="M24" i="4" s="1"/>
  <c r="O23" i="4"/>
  <c r="H23" i="4"/>
  <c r="J23" i="4" s="1"/>
  <c r="K23" i="4" s="1"/>
  <c r="L23" i="4" s="1"/>
  <c r="N23" i="4" s="1"/>
  <c r="M23" i="4" s="1"/>
  <c r="O22" i="4"/>
  <c r="H22" i="4"/>
  <c r="J22" i="4" s="1"/>
  <c r="K22" i="4" s="1"/>
  <c r="L22" i="4" s="1"/>
  <c r="N22" i="4" s="1"/>
  <c r="M22" i="4" s="1"/>
  <c r="O21" i="4"/>
  <c r="H21" i="4"/>
  <c r="J21" i="4" s="1"/>
  <c r="K21" i="4" s="1"/>
  <c r="L21" i="4" s="1"/>
  <c r="N21" i="4" s="1"/>
  <c r="M21" i="4" s="1"/>
  <c r="O20" i="4"/>
  <c r="H20" i="4"/>
  <c r="J20" i="4" s="1"/>
  <c r="K20" i="4" s="1"/>
  <c r="L20" i="4" s="1"/>
  <c r="N20" i="4" s="1"/>
  <c r="O19" i="4"/>
  <c r="H19" i="4"/>
  <c r="J19" i="4" s="1"/>
  <c r="K19" i="4" s="1"/>
  <c r="L19" i="4" s="1"/>
  <c r="N19" i="4" s="1"/>
  <c r="O18" i="4"/>
  <c r="H18" i="4"/>
  <c r="J18" i="4" s="1"/>
  <c r="K18" i="4" s="1"/>
  <c r="L18" i="4" s="1"/>
  <c r="N18" i="4" s="1"/>
  <c r="M28" i="4" l="1"/>
  <c r="M19" i="4"/>
  <c r="M18" i="4"/>
  <c r="M20" i="4"/>
  <c r="I18" i="4"/>
  <c r="I19" i="4"/>
  <c r="I20" i="4"/>
  <c r="I21" i="4"/>
  <c r="I22" i="4"/>
  <c r="I23" i="4"/>
  <c r="I24" i="4"/>
  <c r="I25" i="4"/>
  <c r="I26" i="4"/>
  <c r="I27" i="4"/>
  <c r="I28" i="4"/>
  <c r="X10" i="6" l="1"/>
  <c r="L11" i="6"/>
  <c r="AB13" i="5"/>
  <c r="Q12" i="5"/>
  <c r="L41" i="4" l="1"/>
  <c r="M40" i="4"/>
  <c r="N40" i="4" s="1"/>
  <c r="M39" i="4"/>
  <c r="N39" i="4" s="1"/>
  <c r="M38" i="4"/>
  <c r="N38" i="4" s="1"/>
  <c r="M37" i="4"/>
  <c r="N37" i="4" s="1"/>
  <c r="M36" i="4"/>
  <c r="N36" i="4" s="1"/>
  <c r="M35" i="4"/>
  <c r="M34" i="4"/>
  <c r="N34" i="4" s="1"/>
  <c r="M41" i="4" l="1"/>
  <c r="N41" i="4" s="1"/>
  <c r="N35" i="4"/>
  <c r="D16" i="5"/>
  <c r="C16" i="5"/>
  <c r="E16" i="5" s="1"/>
  <c r="E14" i="5"/>
  <c r="D10" i="5"/>
  <c r="E10" i="5" s="1"/>
  <c r="D11" i="5"/>
  <c r="E11" i="5" s="1"/>
  <c r="D12" i="5"/>
  <c r="E12" i="5" s="1"/>
  <c r="D13" i="5"/>
  <c r="E13" i="5" s="1"/>
  <c r="D14" i="5"/>
  <c r="D15" i="5"/>
  <c r="E15" i="5" s="1"/>
  <c r="D9" i="5"/>
  <c r="E9" i="5" s="1"/>
  <c r="O17" i="4"/>
  <c r="H17" i="4"/>
  <c r="J17" i="4" s="1"/>
  <c r="K17" i="4" s="1"/>
  <c r="L17" i="4" s="1"/>
  <c r="N17" i="4" s="1"/>
  <c r="M17" i="4" l="1"/>
  <c r="I17" i="4"/>
  <c r="C11" i="4"/>
  <c r="O29" i="4" l="1"/>
  <c r="H29" i="4"/>
  <c r="J29" i="4" s="1"/>
  <c r="K29" i="4" s="1"/>
  <c r="O16" i="4"/>
  <c r="H16" i="4"/>
  <c r="J16" i="4" s="1"/>
  <c r="K16" i="4" s="1"/>
  <c r="L16" i="4" s="1"/>
  <c r="N16" i="4" s="1"/>
  <c r="N29" i="4" l="1"/>
  <c r="M29" i="4" s="1"/>
  <c r="I29" i="4"/>
  <c r="M16" i="4"/>
  <c r="I16" i="4"/>
  <c r="C131" i="4"/>
  <c r="O30" i="4" l="1"/>
  <c r="N30" i="4"/>
  <c r="M30" i="4" l="1"/>
  <c r="O31" i="4" l="1"/>
  <c r="M31" i="4" l="1"/>
  <c r="C44" i="4"/>
  <c r="C41" i="4"/>
  <c r="C47" i="4" s="1"/>
  <c r="C45" i="4" l="1"/>
  <c r="C52" i="4"/>
  <c r="C48" i="4" l="1"/>
  <c r="C49" i="4" s="1"/>
  <c r="C50" i="4" l="1"/>
</calcChain>
</file>

<file path=xl/sharedStrings.xml><?xml version="1.0" encoding="utf-8"?>
<sst xmlns="http://schemas.openxmlformats.org/spreadsheetml/2006/main" count="300" uniqueCount="119">
  <si>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</si>
  <si>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</si>
  <si>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</si>
  <si>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</si>
  <si>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</si>
  <si>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</si>
  <si>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</si>
  <si>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</si>
  <si>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</si>
  <si>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</si>
  <si>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</si>
  <si>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</si>
  <si>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</si>
  <si>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</si>
  <si>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</si>
  <si>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</si>
  <si>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</si>
  <si>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</si>
  <si>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</si>
  <si>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</si>
  <si>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</si>
  <si>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</si>
  <si>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</si>
  <si>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</si>
  <si>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</si>
  <si>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</si>
  <si>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>(Sq. M.)</t>
  </si>
  <si>
    <t>Total Fair Market Value</t>
  </si>
  <si>
    <t>Age Of Build. In Years(approx)</t>
  </si>
  <si>
    <t>Sq.M</t>
  </si>
  <si>
    <t>Total BUA</t>
  </si>
  <si>
    <t>Structure Value (as per approved plan)</t>
  </si>
  <si>
    <t xml:space="preserve">Built Up Area </t>
  </si>
  <si>
    <t>Per sq.M</t>
  </si>
  <si>
    <t>Land Area in Guntha</t>
  </si>
  <si>
    <t>Sr.No.</t>
  </si>
  <si>
    <t>Area in SqFt</t>
  </si>
  <si>
    <t>Survay No.</t>
  </si>
  <si>
    <t>15/4/B</t>
  </si>
  <si>
    <t>16//1</t>
  </si>
  <si>
    <t>16//2</t>
  </si>
  <si>
    <t>17//0</t>
  </si>
  <si>
    <t>22//1</t>
  </si>
  <si>
    <t>33/2/B</t>
  </si>
  <si>
    <t>34/2</t>
  </si>
  <si>
    <t>Total</t>
  </si>
  <si>
    <t>Area in Sq M</t>
  </si>
  <si>
    <t>Area in Sqm</t>
  </si>
  <si>
    <t>Factory Shed (New)</t>
  </si>
  <si>
    <t>Factory Shed (Old)</t>
  </si>
  <si>
    <t>Storage (Back side)</t>
  </si>
  <si>
    <t>Boiler Shed</t>
  </si>
  <si>
    <t>New Sorage (besides)</t>
  </si>
  <si>
    <t>Loading and unload shed</t>
  </si>
  <si>
    <t>Storage Loading/Unloading  (Back side)</t>
  </si>
  <si>
    <t>Storage Extension behind loading /unloading  Loading/Unloading  (Back side)</t>
  </si>
  <si>
    <t>Electric Panel Room</t>
  </si>
  <si>
    <t>Row House</t>
  </si>
  <si>
    <t>Office</t>
  </si>
  <si>
    <t>Toilet block</t>
  </si>
  <si>
    <t xml:space="preserve">Weigh Bridge Civil </t>
  </si>
  <si>
    <t>Store room Beside Row House</t>
  </si>
  <si>
    <t>Year Of Const.(as per previous report)</t>
  </si>
  <si>
    <t xml:space="preserve">Total land area </t>
  </si>
  <si>
    <t>Estimated Replacement Cost</t>
  </si>
  <si>
    <t xml:space="preserve">Sq. M. </t>
  </si>
  <si>
    <t>Sq. Ft.</t>
  </si>
  <si>
    <t>Government rate</t>
  </si>
  <si>
    <t>Government value</t>
  </si>
  <si>
    <t>Rent</t>
  </si>
  <si>
    <t>Property Value</t>
  </si>
  <si>
    <t>Residential</t>
  </si>
  <si>
    <t>Commercial</t>
  </si>
  <si>
    <t>Industrial</t>
  </si>
  <si>
    <t xml:space="preserve">Sr. No. </t>
  </si>
  <si>
    <t>Particulars</t>
  </si>
  <si>
    <t>Year Of Const.</t>
  </si>
  <si>
    <t>Age Of Build</t>
  </si>
  <si>
    <t xml:space="preserve">Depreciated Replacement Cost </t>
  </si>
  <si>
    <t xml:space="preserve">Depreciated Replacement Value </t>
  </si>
  <si>
    <t>Replacement Value</t>
  </si>
  <si>
    <r>
      <t>(</t>
    </r>
    <r>
      <rPr>
        <b/>
        <sz val="10.5"/>
        <rFont val="Rupee Foradian"/>
        <family val="2"/>
      </rPr>
      <t>`</t>
    </r>
    <r>
      <rPr>
        <b/>
        <sz val="10.5"/>
        <rFont val="Calibri"/>
        <family val="2"/>
      </rPr>
      <t>)</t>
    </r>
  </si>
  <si>
    <t>(Years)</t>
  </si>
  <si>
    <r>
      <t>(</t>
    </r>
    <r>
      <rPr>
        <b/>
        <sz val="10.5"/>
        <color rgb="FFFF0000"/>
        <rFont val="Rupee Foradian"/>
        <family val="2"/>
      </rPr>
      <t>`</t>
    </r>
    <r>
      <rPr>
        <b/>
        <sz val="10.5"/>
        <color rgb="FFFF0000"/>
        <rFont val="Calibri"/>
        <family val="2"/>
      </rPr>
      <t>)</t>
    </r>
  </si>
  <si>
    <t>Normal Case</t>
  </si>
  <si>
    <t>Total Value</t>
  </si>
  <si>
    <r>
      <t>Insurable value (Depreciated Replacement Value (</t>
    </r>
    <r>
      <rPr>
        <b/>
        <sz val="11"/>
        <color theme="1"/>
        <rFont val="Rupee Foradian"/>
        <family val="2"/>
      </rPr>
      <t xml:space="preserve">` </t>
    </r>
    <r>
      <rPr>
        <b/>
        <sz val="11"/>
        <color theme="1"/>
        <rFont val="Arial Narrow"/>
        <family val="2"/>
      </rPr>
      <t>3,34,62,049.00) - Subsoil Structure Cost (15%)</t>
    </r>
  </si>
  <si>
    <t>Storage Shed, Store Shed, Boiler Shed, Electrical Panel Room</t>
  </si>
  <si>
    <t>(Sq. M. )</t>
  </si>
  <si>
    <t>Storage Shed</t>
  </si>
  <si>
    <t>RCC Storage Room</t>
  </si>
  <si>
    <t>RCC Office</t>
  </si>
  <si>
    <t>RCC Pantry</t>
  </si>
  <si>
    <t>RCC Room &amp; Toilet</t>
  </si>
  <si>
    <t>Sr.</t>
  </si>
  <si>
    <t xml:space="preserve">No. </t>
  </si>
  <si>
    <t>Survey No.</t>
  </si>
  <si>
    <t xml:space="preserve"> Land Area in Guntha </t>
  </si>
  <si>
    <t xml:space="preserve"> Area in </t>
  </si>
  <si>
    <t>17/0</t>
  </si>
  <si>
    <t>As per site measurement</t>
  </si>
  <si>
    <t xml:space="preserve">Load Bearing Structure </t>
  </si>
  <si>
    <t>R.C.C.</t>
  </si>
  <si>
    <t>Store</t>
  </si>
  <si>
    <t>Charging</t>
  </si>
  <si>
    <t>Staircase</t>
  </si>
  <si>
    <t>loading &amp; Unloading</t>
  </si>
  <si>
    <t>Room</t>
  </si>
  <si>
    <t>Toilet</t>
  </si>
  <si>
    <t>Reactor Plant - Patra Shed</t>
  </si>
  <si>
    <t>Security Cabin</t>
  </si>
  <si>
    <t>Ground</t>
  </si>
  <si>
    <t>Stair</t>
  </si>
  <si>
    <t>Office - Load Bearing</t>
  </si>
  <si>
    <t>1st Floor</t>
  </si>
  <si>
    <t>Account</t>
  </si>
  <si>
    <t>Passage</t>
  </si>
  <si>
    <t>Industrial Land area</t>
  </si>
  <si>
    <t>Agricultural 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</si>
</sst>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#,##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  <font>
      <b/>
      <sz val="10.5"/>
      <color theme="1"/>
      <name val="Arial Narrow"/>
      <family val="2"/>
    </font>
    <font>
      <b/>
      <sz val="10.5"/>
      <name val="Arial Narrow"/>
      <family val="2"/>
    </font>
    <font>
      <b/>
      <sz val="10.5"/>
      <color rgb="FFFF0000"/>
      <name val="Arial Narrow"/>
      <family val="2"/>
    </font>
    <font>
      <b/>
      <sz val="10.5"/>
      <color rgb="FFFF0000"/>
      <name val="Calibri"/>
      <family val="2"/>
    </font>
    <font>
      <b/>
      <sz val="10.5"/>
      <name val="Calibri"/>
      <family val="2"/>
    </font>
    <font>
      <b/>
      <sz val="10.5"/>
      <name val="Rupee Foradian"/>
      <family val="2"/>
    </font>
    <font>
      <b/>
      <sz val="10.5"/>
      <color rgb="FFFF0000"/>
      <name val="Rupee Foradian"/>
      <family val="2"/>
    </font>
    <font>
      <sz val="10.5"/>
      <color theme="1"/>
      <name val="Arial Narrow"/>
      <family val="2"/>
    </font>
    <font>
      <sz val="10.5"/>
      <color rgb="FF000000"/>
      <name val="Arial Narrow"/>
      <family val="2"/>
    </font>
    <font>
      <sz val="10.5"/>
      <name val="Arial Narrow"/>
      <family val="2"/>
    </font>
    <font>
      <sz val="10.5"/>
      <color rgb="FFFF0000"/>
      <name val="Arial Narrow"/>
      <family val="2"/>
    </font>
    <font>
      <b/>
      <sz val="11"/>
      <color theme="1"/>
      <name val="Rupee Foradian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1" fillId="0" borderId="1" xfId="1" applyNumberFormat="1" applyFont="1" applyBorder="1"/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2" fontId="1" fillId="0" borderId="0" xfId="1" applyNumberFormat="1" applyFont="1" applyBorder="1" applyAlignment="1">
      <alignment wrapText="1"/>
    </xf>
    <xf numFmtId="0" fontId="15" fillId="0" borderId="0" xfId="0" applyFont="1"/>
    <xf numFmtId="0" fontId="16" fillId="0" borderId="0" xfId="0" applyFont="1"/>
    <xf numFmtId="0" fontId="1" fillId="0" borderId="0" xfId="0" applyFont="1" applyAlignment="1">
      <alignment horizontal="left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2" fontId="17" fillId="0" borderId="0" xfId="0" applyNumberFormat="1" applyFo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0" fontId="10" fillId="0" borderId="1" xfId="0" applyFont="1" applyBorder="1" applyAlignment="1">
      <alignment horizontal="center" wrapText="1"/>
    </xf>
    <xf numFmtId="4" fontId="10" fillId="0" borderId="1" xfId="0" applyNumberFormat="1" applyFont="1" applyBorder="1"/>
    <xf numFmtId="43" fontId="0" fillId="2" borderId="0" xfId="1" applyFont="1" applyFill="1"/>
    <xf numFmtId="0" fontId="0" fillId="2" borderId="0" xfId="0" applyFill="1"/>
    <xf numFmtId="4" fontId="6" fillId="0" borderId="0" xfId="0" applyNumberFormat="1" applyFont="1"/>
    <xf numFmtId="2" fontId="1" fillId="0" borderId="1" xfId="0" applyNumberFormat="1" applyFont="1" applyBorder="1"/>
    <xf numFmtId="0" fontId="0" fillId="0" borderId="1" xfId="0" applyBorder="1"/>
    <xf numFmtId="1" fontId="0" fillId="0" borderId="1" xfId="0" applyNumberFormat="1" applyBorder="1"/>
    <xf numFmtId="16" fontId="0" fillId="0" borderId="1" xfId="0" applyNumberFormat="1" applyBorder="1"/>
    <xf numFmtId="0" fontId="14" fillId="0" borderId="1" xfId="0" applyFont="1" applyBorder="1"/>
    <xf numFmtId="1" fontId="14" fillId="0" borderId="1" xfId="0" applyNumberFormat="1" applyFont="1" applyBorder="1"/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164" fontId="7" fillId="0" borderId="1" xfId="1" applyNumberFormat="1" applyFont="1" applyBorder="1" applyAlignment="1">
      <alignment vertical="center" wrapText="1"/>
    </xf>
    <xf numFmtId="164" fontId="6" fillId="0" borderId="1" xfId="1" applyNumberFormat="1" applyFont="1" applyBorder="1"/>
    <xf numFmtId="164" fontId="7" fillId="0" borderId="0" xfId="1" applyNumberFormat="1" applyFont="1"/>
    <xf numFmtId="164" fontId="10" fillId="0" borderId="1" xfId="1" applyNumberFormat="1" applyFont="1" applyBorder="1"/>
    <xf numFmtId="3" fontId="1" fillId="0" borderId="0" xfId="0" applyNumberFormat="1" applyFont="1"/>
    <xf numFmtId="0" fontId="3" fillId="0" borderId="1" xfId="0" applyFont="1" applyBorder="1" applyAlignment="1">
      <alignment horizontal="center"/>
    </xf>
    <xf numFmtId="3" fontId="3" fillId="0" borderId="0" xfId="0" applyNumberFormat="1" applyFont="1"/>
    <xf numFmtId="3" fontId="6" fillId="0" borderId="0" xfId="0" applyNumberFormat="1" applyFont="1"/>
    <xf numFmtId="4" fontId="3" fillId="0" borderId="1" xfId="0" applyNumberFormat="1" applyFont="1" applyBorder="1" applyAlignment="1">
      <alignment vertical="top"/>
    </xf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wrapText="1"/>
    </xf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top" wrapText="1" shrinkToFit="1"/>
    </xf>
    <xf numFmtId="0" fontId="21" fillId="0" borderId="1" xfId="0" applyFont="1" applyBorder="1" applyAlignment="1">
      <alignment horizontal="center" vertical="top" wrapText="1" shrinkToFit="1"/>
    </xf>
    <xf numFmtId="0" fontId="22" fillId="0" borderId="1" xfId="0" applyFont="1" applyBorder="1" applyAlignment="1">
      <alignment horizontal="center" vertical="top" wrapText="1" shrinkToFit="1"/>
    </xf>
    <xf numFmtId="0" fontId="21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top" wrapText="1" shrinkToFit="1"/>
    </xf>
    <xf numFmtId="0" fontId="21" fillId="0" borderId="0" xfId="0" applyFont="1" applyAlignment="1">
      <alignment horizontal="center"/>
    </xf>
    <xf numFmtId="0" fontId="26" fillId="0" borderId="1" xfId="0" applyFont="1" applyBorder="1" applyAlignment="1">
      <alignment horizontal="center" vertical="top"/>
    </xf>
    <xf numFmtId="0" fontId="27" fillId="0" borderId="1" xfId="0" applyFont="1" applyBorder="1" applyAlignment="1">
      <alignment vertical="top" wrapText="1"/>
    </xf>
    <xf numFmtId="0" fontId="28" fillId="0" borderId="1" xfId="0" applyFont="1" applyBorder="1" applyAlignment="1">
      <alignment horizontal="right" vertical="top" wrapText="1"/>
    </xf>
    <xf numFmtId="3" fontId="27" fillId="0" borderId="1" xfId="0" applyNumberFormat="1" applyFont="1" applyBorder="1" applyAlignment="1">
      <alignment horizontal="right" vertical="top" wrapText="1"/>
    </xf>
    <xf numFmtId="3" fontId="29" fillId="0" borderId="1" xfId="0" applyNumberFormat="1" applyFont="1" applyBorder="1" applyAlignment="1">
      <alignment vertical="top"/>
    </xf>
    <xf numFmtId="0" fontId="26" fillId="0" borderId="1" xfId="0" applyFont="1" applyBorder="1" applyAlignment="1">
      <alignment horizontal="center"/>
    </xf>
    <xf numFmtId="3" fontId="29" fillId="0" borderId="1" xfId="0" applyNumberFormat="1" applyFont="1" applyBorder="1"/>
    <xf numFmtId="0" fontId="26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/>
    </xf>
    <xf numFmtId="0" fontId="29" fillId="0" borderId="1" xfId="0" applyFont="1" applyBorder="1" applyAlignment="1">
      <alignment vertical="top"/>
    </xf>
    <xf numFmtId="3" fontId="26" fillId="0" borderId="1" xfId="0" applyNumberFormat="1" applyFont="1" applyBorder="1" applyAlignment="1">
      <alignment vertical="top"/>
    </xf>
    <xf numFmtId="4" fontId="1" fillId="0" borderId="0" xfId="0" applyNumberFormat="1" applyFont="1" applyAlignment="1">
      <alignment vertical="top"/>
    </xf>
    <xf numFmtId="3" fontId="7" fillId="0" borderId="1" xfId="0" applyNumberFormat="1" applyFont="1" applyBorder="1"/>
    <xf numFmtId="3" fontId="7" fillId="0" borderId="1" xfId="0" applyNumberFormat="1" applyFont="1" applyBorder="1" applyAlignment="1">
      <alignment vertical="top"/>
    </xf>
    <xf numFmtId="3" fontId="3" fillId="0" borderId="1" xfId="0" applyNumberFormat="1" applyFont="1" applyBorder="1"/>
    <xf numFmtId="0" fontId="3" fillId="0" borderId="0" xfId="0" applyFont="1" applyAlignment="1">
      <alignment horizontal="center"/>
    </xf>
    <xf numFmtId="4" fontId="3" fillId="0" borderId="6" xfId="0" applyNumberFormat="1" applyFont="1" applyBorder="1" applyAlignment="1">
      <alignment vertical="top"/>
    </xf>
    <xf numFmtId="0" fontId="1" fillId="0" borderId="0" xfId="0" applyFont="1" applyAlignment="1">
      <alignment wrapText="1"/>
    </xf>
    <xf numFmtId="3" fontId="3" fillId="0" borderId="0" xfId="0" applyNumberFormat="1" applyFont="1" applyAlignment="1">
      <alignment vertical="top"/>
    </xf>
    <xf numFmtId="3" fontId="8" fillId="0" borderId="0" xfId="0" applyNumberFormat="1" applyFont="1"/>
    <xf numFmtId="3" fontId="8" fillId="0" borderId="0" xfId="0" applyNumberFormat="1" applyFont="1" applyAlignment="1">
      <alignment vertical="top"/>
    </xf>
    <xf numFmtId="164" fontId="3" fillId="0" borderId="0" xfId="1" applyNumberFormat="1" applyFont="1" applyAlignment="1">
      <alignment vertical="top"/>
    </xf>
    <xf numFmtId="165" fontId="26" fillId="0" borderId="1" xfId="0" applyNumberFormat="1" applyFont="1" applyBorder="1" applyAlignment="1">
      <alignment horizontal="right" vertical="top" wrapText="1"/>
    </xf>
    <xf numFmtId="165" fontId="26" fillId="0" borderId="1" xfId="0" applyNumberFormat="1" applyFont="1" applyBorder="1" applyAlignment="1">
      <alignment vertical="top"/>
    </xf>
    <xf numFmtId="0" fontId="31" fillId="0" borderId="7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0" xfId="0" applyFont="1" applyBorder="1" applyAlignment="1">
      <alignment horizontal="right" vertical="center"/>
    </xf>
    <xf numFmtId="16" fontId="13" fillId="0" borderId="10" xfId="0" applyNumberFormat="1" applyFont="1" applyBorder="1" applyAlignment="1">
      <alignment horizontal="center" vertical="center"/>
    </xf>
    <xf numFmtId="4" fontId="13" fillId="0" borderId="10" xfId="0" applyNumberFormat="1" applyFont="1" applyBorder="1" applyAlignment="1">
      <alignment horizontal="right" vertical="center"/>
    </xf>
    <xf numFmtId="0" fontId="31" fillId="0" borderId="10" xfId="0" applyFont="1" applyBorder="1" applyAlignment="1">
      <alignment horizontal="right" vertical="center"/>
    </xf>
    <xf numFmtId="4" fontId="31" fillId="0" borderId="10" xfId="0" applyNumberFormat="1" applyFont="1" applyBorder="1" applyAlignment="1">
      <alignment horizontal="right" vertical="center"/>
    </xf>
    <xf numFmtId="2" fontId="7" fillId="0" borderId="0" xfId="0" applyNumberFormat="1" applyFont="1"/>
    <xf numFmtId="0" fontId="7" fillId="0" borderId="0" xfId="0" applyFont="1" applyAlignment="1">
      <alignment wrapText="1"/>
    </xf>
    <xf numFmtId="0" fontId="7" fillId="0" borderId="0" xfId="0" applyFont="1" applyAlignment="1">
      <alignment horizontal="right" vertical="top" wrapText="1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horizontal="right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8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  <xf numFmtId="0" fontId="14" fillId="0" borderId="2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6" fillId="0" borderId="3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31" fillId="0" borderId="7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164" fontId="3" fillId="0" borderId="0" xfId="1" applyNumberFormat="1" applyFont="1"/>
    <xf numFmtId="164" fontId="1" fillId="0" borderId="0" xfId="1" applyNumberFormat="1" applyFont="1"/>
    <xf numFmtId="164" fontId="8" fillId="0" borderId="0" xfId="1" applyNumberFormat="1" applyFont="1"/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57709</xdr:colOff>
      <xdr:row>1</xdr:row>
      <xdr:rowOff>76761</xdr:rowOff>
    </xdr:from>
    <xdr:to>
      <xdr:col>13</xdr:col>
      <xdr:colOff>839320</xdr:colOff>
      <xdr:row>6</xdr:row>
      <xdr:rowOff>85726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406163-500F-496C-B0FC-4CEADC823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384" y="286311"/>
          <a:ext cx="11735361" cy="146629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208841</xdr:colOff>
      <xdr:row>1</xdr:row>
      <xdr:rowOff>9525</xdr:rowOff>
    </xdr:from>
    <xdr:to>
      <xdr:col>17</xdr:col>
      <xdr:colOff>1253219</xdr:colOff>
      <xdr:row>14</xdr:row>
      <xdr:rowOff>27518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EB67E2-4947-4097-96D3-99B1A0AF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67691" y="219075"/>
          <a:ext cx="3711378" cy="4008968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666750</xdr:colOff>
      <xdr:row>50</xdr:row>
      <xdr:rowOff>85725</xdr:rowOff>
    </xdr:from>
    <xdr:to>
      <xdr:col>11</xdr:col>
      <xdr:colOff>581456</xdr:colOff>
      <xdr:row>62</xdr:row>
      <xdr:rowOff>124181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F11A1B-B9EF-4FCD-B905-ED06D85FB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91350" y="12668250"/>
          <a:ext cx="3086531" cy="25530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504825</xdr:colOff>
      <xdr:row>21</xdr:row>
      <xdr:rowOff>76199</xdr:rowOff>
    </xdr:from>
    <xdr:to>
      <xdr:col>10</xdr:col>
      <xdr:colOff>902476</xdr:colOff>
      <xdr:row>37</xdr:row>
      <xdr:rowOff>38099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E358A3-EB83-482A-8244-596B957B4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7425" y="4476749"/>
          <a:ext cx="5207776" cy="3609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504825</xdr:colOff>
      <xdr:row>21</xdr:row>
      <xdr:rowOff>76199</xdr:rowOff>
    </xdr:from>
    <xdr:to>
      <xdr:col>10</xdr:col>
      <xdr:colOff>902476</xdr:colOff>
      <xdr:row>40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9BE101-4690-4EBE-BCFB-07C9CF71E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7425" y="5105399"/>
          <a:ext cx="5207776" cy="3609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</xdr:colOff>
      <xdr:row>1</xdr:row>
      <xdr:rowOff>142875</xdr:rowOff>
    </xdr:from>
    <xdr:to>
      <xdr:col>15</xdr:col>
      <xdr:colOff>428235</xdr:colOff>
      <xdr:row>27</xdr:row>
      <xdr:rowOff>48516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AF505-1AEF-498B-A941-1A48E662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0" y="333375"/>
          <a:ext cx="5847960" cy="5049141"/>
        </a:xfrm>
        <a:prstGeom prst="rect">
          <a:avLst/>
        </a:prstGeom>
      </xdr:spPr>
    </xdr:pic>
    <xdr:clientData/>
  </xdr:twoCellAnchor>
  <xdr:twoCellAnchor editAs="oneCell">
    <xdr:from>
      <xdr:col>18</xdr:col>
      <xdr:colOff>396133</xdr:colOff>
      <xdr:row>0</xdr:row>
      <xdr:rowOff>104775</xdr:rowOff>
    </xdr:from>
    <xdr:to>
      <xdr:col>26</xdr:col>
      <xdr:colOff>420055</xdr:colOff>
      <xdr:row>32</xdr:row>
      <xdr:rowOff>125053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43F5DB-D228-42A4-A00C-E83AA450F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7558" y="104775"/>
          <a:ext cx="4900722" cy="63067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0</xdr:row>
      <xdr:rowOff>0</xdr:rowOff>
    </xdr:from>
    <xdr:to>
      <xdr:col>10</xdr:col>
      <xdr:colOff>428625</xdr:colOff>
      <xdr:row>35</xdr:row>
      <xdr:rowOff>121771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AF6191-AEFC-46DE-8B68-7DA3018B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0"/>
          <a:ext cx="6096000" cy="6789271"/>
        </a:xfrm>
        <a:prstGeom prst="rect">
          <a:avLst/>
        </a:prstGeom>
      </xdr:spPr>
    </xdr:pic>
    <xdr:clientData/>
  </xdr:twoCellAnchor>
  <xdr:twoCellAnchor editAs="oneCell">
    <xdr:from>
      <xdr:col>13</xdr:col>
      <xdr:colOff>85248</xdr:colOff>
      <xdr:row>0</xdr:row>
      <xdr:rowOff>0</xdr:rowOff>
    </xdr:from>
    <xdr:to>
      <xdr:col>22</xdr:col>
      <xdr:colOff>134356</xdr:colOff>
      <xdr:row>35</xdr:row>
      <xdr:rowOff>172617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57D756-0062-4BE6-A970-762B266A9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10048" y="0"/>
          <a:ext cx="5897458" cy="6840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Q188"/>
  <sheetViews>
    <sheetView tabSelected="1" zoomScaleNormal="100" workbookViewId="0">
      <pane xSplit="3" ySplit="14" topLeftCell="D30" activePane="bottomRight" state="frozen"/>
      <selection pane="topRight" activeCell="C1" sqref="C1"/>
      <selection pane="bottomLeft" activeCell="A7" sqref="A7"/>
      <selection pane="bottomRight" activeCell="H32" sqref="H32"/>
    </sheetView>
  </sheetViews>
  <sheetFormatPr defaultColWidth="20" defaultRowHeight="16.5" x14ac:dyDescent="0.3"/>
  <cols>
    <col min="1" max="1" width="6.7109375" style="1" customWidth="1"/>
    <col min="2" max="2" width="22.28515625" style="16" customWidth="1"/>
    <col min="3" max="3" width="16.7109375" style="64" customWidth="1"/>
    <col min="4" max="4" width="8.7109375" style="1" customWidth="1"/>
    <col min="5" max="5" width="9.42578125" style="1" customWidth="1"/>
    <col min="6" max="6" width="14.42578125" style="1" customWidth="1"/>
    <col min="7" max="7" width="16.5703125" style="4" customWidth="1"/>
    <col min="8" max="8" width="13.140625" style="4" customWidth="1"/>
    <col min="9" max="9" width="14.7109375" style="4" bestFit="1" customWidth="1"/>
    <col min="10" max="10" width="8.85546875" style="4" customWidth="1"/>
    <col min="11" max="11" width="10.85546875" style="1" customWidth="1"/>
    <col min="12" max="12" width="14" style="4" customWidth="1"/>
    <col min="13" max="13" width="14.5703125" style="1" customWidth="1"/>
    <col min="14" max="14" width="13.42578125" style="4" customWidth="1"/>
    <col min="15" max="15" width="10.85546875" style="4" customWidth="1"/>
    <col min="16" max="16384" width="20" style="1"/>
  </cols>
  <sheetData>
    <row r="1" spans="2:15" x14ac:dyDescent="0.3">
      <c r="C1" s="66"/>
    </row>
    <row r="2" spans="2:15" x14ac:dyDescent="0.3">
      <c r="B2" s="69"/>
      <c r="C2" s="67"/>
      <c r="D2" s="68"/>
      <c r="E2"/>
    </row>
    <row r="3" spans="2:15" ht="27.75" customHeight="1" x14ac:dyDescent="0.3">
      <c r="B3" s="155"/>
      <c r="C3" s="155"/>
      <c r="D3" s="155"/>
      <c r="E3" s="155"/>
      <c r="F3" s="155"/>
      <c r="G3" s="155"/>
    </row>
    <row r="4" spans="2:15" ht="36" customHeight="1" x14ac:dyDescent="0.3">
      <c r="B4" s="157"/>
      <c r="C4" s="158"/>
      <c r="D4" s="158"/>
      <c r="E4" s="158"/>
      <c r="F4" s="158"/>
      <c r="G4" s="158"/>
      <c r="H4" s="158"/>
      <c r="I4" s="158"/>
      <c r="J4" s="159"/>
      <c r="L4" s="1"/>
    </row>
    <row r="5" spans="2:15" ht="17.25" customHeight="1" x14ac:dyDescent="0.3">
      <c r="B5" s="72"/>
      <c r="C5" s="72"/>
      <c r="D5" s="72"/>
      <c r="E5" s="72"/>
      <c r="F5" s="72"/>
      <c r="G5" s="72"/>
      <c r="H5" s="72"/>
      <c r="I5" s="1"/>
      <c r="J5" s="1"/>
      <c r="L5" s="1"/>
    </row>
    <row r="6" spans="2:15" ht="17.25" customHeight="1" x14ac:dyDescent="0.3">
      <c r="B6" s="72"/>
      <c r="C6" s="72"/>
      <c r="D6" s="72"/>
      <c r="E6" s="72"/>
      <c r="F6" s="72"/>
      <c r="G6" s="72"/>
      <c r="H6" s="72"/>
      <c r="I6" s="1"/>
      <c r="J6" s="1"/>
      <c r="L6" s="1"/>
    </row>
    <row r="7" spans="2:15" ht="17.25" customHeight="1" x14ac:dyDescent="0.3">
      <c r="B7" s="72"/>
      <c r="C7" s="72"/>
      <c r="D7" s="72"/>
      <c r="E7" s="72"/>
      <c r="F7" s="72"/>
      <c r="G7" s="72"/>
      <c r="H7" s="72"/>
      <c r="I7" s="1"/>
      <c r="J7" s="1"/>
      <c r="L7" s="1"/>
    </row>
    <row r="8" spans="2:15" ht="15.75" customHeight="1" x14ac:dyDescent="0.3">
      <c r="B8" s="6" t="s">
        <v>10</v>
      </c>
      <c r="C8" s="54"/>
    </row>
    <row r="9" spans="2:15" x14ac:dyDescent="0.3">
      <c r="B9" s="12" t="s">
        <v>63</v>
      </c>
      <c r="C9" s="65">
        <v>44280</v>
      </c>
      <c r="D9" s="37" t="s">
        <v>29</v>
      </c>
      <c r="G9" s="77">
        <f>C9</f>
        <v>44280</v>
      </c>
      <c r="H9" s="1">
        <v>1970</v>
      </c>
      <c r="I9" s="94">
        <f>G9*H9</f>
        <v>87231600</v>
      </c>
      <c r="K9" s="4"/>
      <c r="M9" s="4"/>
      <c r="N9" s="1"/>
      <c r="O9" s="1"/>
    </row>
    <row r="10" spans="2:15" x14ac:dyDescent="0.3">
      <c r="B10" s="13" t="s">
        <v>4</v>
      </c>
      <c r="C10" s="55">
        <v>3900</v>
      </c>
      <c r="D10" s="14"/>
      <c r="F10" s="76"/>
      <c r="G10" s="76"/>
      <c r="H10" s="76"/>
      <c r="I10" s="94">
        <f>N31</f>
        <v>24269798</v>
      </c>
      <c r="K10" s="4"/>
      <c r="M10" s="4"/>
      <c r="N10" s="1"/>
      <c r="O10" s="1"/>
    </row>
    <row r="11" spans="2:15" x14ac:dyDescent="0.3">
      <c r="B11" s="78" t="s">
        <v>15</v>
      </c>
      <c r="C11" s="95">
        <f>C9*C10</f>
        <v>172692000</v>
      </c>
      <c r="D11" s="79"/>
      <c r="F11" s="18"/>
      <c r="G11" s="19"/>
      <c r="H11" s="1"/>
      <c r="I11" s="94">
        <f>SUM(I9:I10)</f>
        <v>111501398</v>
      </c>
      <c r="K11" s="4"/>
      <c r="M11" s="4"/>
      <c r="N11" s="1"/>
      <c r="O11" s="1"/>
    </row>
    <row r="12" spans="2:15" ht="20.25" customHeight="1" x14ac:dyDescent="0.3">
      <c r="B12" s="38"/>
      <c r="C12" s="57"/>
      <c r="D12" s="39"/>
      <c r="F12" s="18"/>
      <c r="G12" s="19"/>
      <c r="H12" s="1"/>
      <c r="K12" s="4"/>
      <c r="M12" s="4"/>
      <c r="N12" s="1"/>
      <c r="O12" s="1"/>
    </row>
    <row r="13" spans="2:15" ht="33" customHeight="1" x14ac:dyDescent="0.3">
      <c r="B13" s="156" t="s">
        <v>31</v>
      </c>
      <c r="C13" s="156"/>
      <c r="E13" s="17"/>
    </row>
    <row r="14" spans="2:15" s="2" customFormat="1" ht="63.75" x14ac:dyDescent="0.2">
      <c r="B14" s="40" t="s">
        <v>16</v>
      </c>
      <c r="C14" s="58" t="s">
        <v>32</v>
      </c>
      <c r="D14" s="40" t="s">
        <v>62</v>
      </c>
      <c r="E14" s="40" t="s">
        <v>0</v>
      </c>
      <c r="F14" s="40" t="s">
        <v>1</v>
      </c>
      <c r="G14" s="40" t="s">
        <v>17</v>
      </c>
      <c r="H14" s="40" t="s">
        <v>28</v>
      </c>
      <c r="I14" s="40" t="s">
        <v>18</v>
      </c>
      <c r="J14" s="40" t="s">
        <v>2</v>
      </c>
      <c r="K14" s="40" t="s">
        <v>3</v>
      </c>
      <c r="L14" s="40" t="s">
        <v>13</v>
      </c>
      <c r="M14" s="40" t="s">
        <v>19</v>
      </c>
      <c r="N14" s="40" t="s">
        <v>14</v>
      </c>
      <c r="O14" s="40" t="s">
        <v>64</v>
      </c>
    </row>
    <row r="15" spans="2:15" s="21" customFormat="1" x14ac:dyDescent="0.2">
      <c r="B15" s="20"/>
      <c r="C15" s="58" t="s">
        <v>26</v>
      </c>
      <c r="D15" s="40"/>
      <c r="E15" s="40"/>
      <c r="F15" s="40"/>
      <c r="G15" s="3" t="s">
        <v>20</v>
      </c>
      <c r="H15" s="40"/>
      <c r="I15" s="40"/>
      <c r="J15" s="3"/>
      <c r="K15" s="3"/>
      <c r="L15" s="3" t="s">
        <v>20</v>
      </c>
      <c r="M15" s="3" t="s">
        <v>20</v>
      </c>
      <c r="N15" s="3" t="s">
        <v>20</v>
      </c>
      <c r="O15" s="3" t="s">
        <v>20</v>
      </c>
    </row>
    <row r="16" spans="2:15" s="21" customFormat="1" x14ac:dyDescent="0.3">
      <c r="B16" s="46" t="s">
        <v>48</v>
      </c>
      <c r="C16" s="83">
        <v>797.76</v>
      </c>
      <c r="D16" s="46">
        <v>2010</v>
      </c>
      <c r="E16" s="22">
        <v>2024</v>
      </c>
      <c r="F16" s="42">
        <v>50</v>
      </c>
      <c r="G16" s="92">
        <v>18500</v>
      </c>
      <c r="H16" s="42">
        <f t="shared" ref="H16:H29" si="0">E16-D16</f>
        <v>14</v>
      </c>
      <c r="I16" s="42">
        <f t="shared" ref="I16:I29" si="1">F16-H16</f>
        <v>36</v>
      </c>
      <c r="J16" s="42">
        <f t="shared" ref="J16:J29" si="2">IF(H16&gt;=5,90*H16/F16,0)</f>
        <v>25.2</v>
      </c>
      <c r="K16" s="42">
        <f t="shared" ref="K16:K29" si="3">G16/100*J16</f>
        <v>4662</v>
      </c>
      <c r="L16" s="92">
        <f t="shared" ref="L16" si="4">ROUND((G16-K16),0)</f>
        <v>13838</v>
      </c>
      <c r="M16" s="92">
        <f t="shared" ref="M16:M30" si="5">O16-N16</f>
        <v>3719157</v>
      </c>
      <c r="N16" s="92">
        <f t="shared" ref="N16:N30" si="6">ROUND(L16*C16,0)</f>
        <v>11039403</v>
      </c>
      <c r="O16" s="92">
        <f t="shared" ref="O16:O30" si="7">ROUND(G16*C16,0)</f>
        <v>14758560</v>
      </c>
    </row>
    <row r="17" spans="2:17" s="21" customFormat="1" x14ac:dyDescent="0.3">
      <c r="B17" s="46" t="s">
        <v>49</v>
      </c>
      <c r="C17" s="83">
        <v>447.36</v>
      </c>
      <c r="D17" s="46">
        <v>1991</v>
      </c>
      <c r="E17" s="22">
        <v>2024</v>
      </c>
      <c r="F17" s="42">
        <v>50</v>
      </c>
      <c r="G17" s="92">
        <v>18500</v>
      </c>
      <c r="H17" s="42">
        <f t="shared" ref="H17" si="8">E17-D17</f>
        <v>33</v>
      </c>
      <c r="I17" s="42">
        <f t="shared" ref="I17" si="9">F17-H17</f>
        <v>17</v>
      </c>
      <c r="J17" s="42">
        <f t="shared" ref="J17" si="10">IF(H17&gt;=5,90*H17/F17,0)</f>
        <v>59.4</v>
      </c>
      <c r="K17" s="42">
        <f t="shared" ref="K17" si="11">G17/100*J17</f>
        <v>10989</v>
      </c>
      <c r="L17" s="92">
        <f t="shared" ref="L17" si="12">ROUND((G17-K17),0)</f>
        <v>7511</v>
      </c>
      <c r="M17" s="92">
        <f t="shared" ref="M17" si="13">O17-N17</f>
        <v>4916039</v>
      </c>
      <c r="N17" s="92">
        <f t="shared" ref="N17" si="14">ROUND(L17*C17,0)</f>
        <v>3360121</v>
      </c>
      <c r="O17" s="92">
        <f t="shared" ref="O17" si="15">ROUND(G17*C17,0)</f>
        <v>8276160</v>
      </c>
    </row>
    <row r="18" spans="2:17" s="21" customFormat="1" x14ac:dyDescent="0.3">
      <c r="B18" s="46" t="s">
        <v>50</v>
      </c>
      <c r="C18" s="83">
        <v>252.56</v>
      </c>
      <c r="D18" s="46">
        <v>2012</v>
      </c>
      <c r="E18" s="22">
        <v>2024</v>
      </c>
      <c r="F18" s="42">
        <v>50</v>
      </c>
      <c r="G18" s="92">
        <v>20000</v>
      </c>
      <c r="H18" s="42">
        <f t="shared" ref="H18:H28" si="16">E18-D18</f>
        <v>12</v>
      </c>
      <c r="I18" s="42">
        <f t="shared" ref="I18:I28" si="17">F18-H18</f>
        <v>38</v>
      </c>
      <c r="J18" s="42">
        <f t="shared" ref="J18:J28" si="18">IF(H18&gt;=5,90*H18/F18,0)</f>
        <v>21.6</v>
      </c>
      <c r="K18" s="42">
        <f t="shared" ref="K18:K28" si="19">G18/100*J18</f>
        <v>4320</v>
      </c>
      <c r="L18" s="92">
        <f t="shared" ref="L18:L28" si="20">ROUND((G18-K18),0)</f>
        <v>15680</v>
      </c>
      <c r="M18" s="92">
        <f t="shared" ref="M18:M28" si="21">O18-N18</f>
        <v>1091059</v>
      </c>
      <c r="N18" s="92">
        <f t="shared" ref="N18:N28" si="22">ROUND(L18*C18,0)</f>
        <v>3960141</v>
      </c>
      <c r="O18" s="92">
        <f t="shared" ref="O18:O28" si="23">ROUND(G18*C18,0)</f>
        <v>5051200</v>
      </c>
    </row>
    <row r="19" spans="2:17" s="21" customFormat="1" x14ac:dyDescent="0.3">
      <c r="B19" s="46" t="s">
        <v>51</v>
      </c>
      <c r="C19" s="83">
        <v>150.15</v>
      </c>
      <c r="D19" s="46">
        <v>2005</v>
      </c>
      <c r="E19" s="22">
        <v>2024</v>
      </c>
      <c r="F19" s="42">
        <v>50</v>
      </c>
      <c r="G19" s="92">
        <v>6500</v>
      </c>
      <c r="H19" s="42">
        <f t="shared" si="16"/>
        <v>19</v>
      </c>
      <c r="I19" s="42">
        <f t="shared" si="17"/>
        <v>31</v>
      </c>
      <c r="J19" s="42">
        <f t="shared" si="18"/>
        <v>34.200000000000003</v>
      </c>
      <c r="K19" s="42">
        <f t="shared" si="19"/>
        <v>2223</v>
      </c>
      <c r="L19" s="92">
        <f t="shared" si="20"/>
        <v>4277</v>
      </c>
      <c r="M19" s="92">
        <f t="shared" si="21"/>
        <v>333783</v>
      </c>
      <c r="N19" s="92">
        <f t="shared" si="22"/>
        <v>642192</v>
      </c>
      <c r="O19" s="92">
        <f t="shared" si="23"/>
        <v>975975</v>
      </c>
    </row>
    <row r="20" spans="2:17" s="21" customFormat="1" x14ac:dyDescent="0.3">
      <c r="B20" s="46" t="s">
        <v>52</v>
      </c>
      <c r="C20" s="83">
        <v>89.16</v>
      </c>
      <c r="D20" s="46">
        <v>2010</v>
      </c>
      <c r="E20" s="22">
        <v>2024</v>
      </c>
      <c r="F20" s="42">
        <v>50</v>
      </c>
      <c r="G20" s="92">
        <v>20000</v>
      </c>
      <c r="H20" s="42">
        <f t="shared" si="16"/>
        <v>14</v>
      </c>
      <c r="I20" s="42">
        <f t="shared" si="17"/>
        <v>36</v>
      </c>
      <c r="J20" s="42">
        <f t="shared" si="18"/>
        <v>25.2</v>
      </c>
      <c r="K20" s="42">
        <f t="shared" si="19"/>
        <v>5040</v>
      </c>
      <c r="L20" s="92">
        <f t="shared" si="20"/>
        <v>14960</v>
      </c>
      <c r="M20" s="92">
        <f t="shared" si="21"/>
        <v>449366</v>
      </c>
      <c r="N20" s="92">
        <f t="shared" si="22"/>
        <v>1333834</v>
      </c>
      <c r="O20" s="92">
        <f t="shared" si="23"/>
        <v>1783200</v>
      </c>
    </row>
    <row r="21" spans="2:17" s="21" customFormat="1" x14ac:dyDescent="0.3">
      <c r="B21" s="46" t="s">
        <v>53</v>
      </c>
      <c r="C21" s="83">
        <v>57.3</v>
      </c>
      <c r="D21" s="46">
        <v>2002</v>
      </c>
      <c r="E21" s="22">
        <v>2024</v>
      </c>
      <c r="F21" s="42">
        <v>50</v>
      </c>
      <c r="G21" s="92">
        <v>8000</v>
      </c>
      <c r="H21" s="42">
        <f t="shared" si="16"/>
        <v>22</v>
      </c>
      <c r="I21" s="42">
        <f t="shared" si="17"/>
        <v>28</v>
      </c>
      <c r="J21" s="42">
        <f t="shared" si="18"/>
        <v>39.6</v>
      </c>
      <c r="K21" s="42">
        <f t="shared" si="19"/>
        <v>3168</v>
      </c>
      <c r="L21" s="92">
        <f t="shared" si="20"/>
        <v>4832</v>
      </c>
      <c r="M21" s="92">
        <f t="shared" si="21"/>
        <v>181526</v>
      </c>
      <c r="N21" s="92">
        <f t="shared" si="22"/>
        <v>276874</v>
      </c>
      <c r="O21" s="92">
        <f t="shared" si="23"/>
        <v>458400</v>
      </c>
    </row>
    <row r="22" spans="2:17" s="21" customFormat="1" ht="32.25" customHeight="1" x14ac:dyDescent="0.3">
      <c r="B22" s="91" t="s">
        <v>54</v>
      </c>
      <c r="C22" s="83">
        <v>200.06</v>
      </c>
      <c r="D22" s="46">
        <v>2002</v>
      </c>
      <c r="E22" s="22">
        <v>2024</v>
      </c>
      <c r="F22" s="42">
        <v>50</v>
      </c>
      <c r="G22" s="92">
        <v>7500</v>
      </c>
      <c r="H22" s="42">
        <f t="shared" si="16"/>
        <v>22</v>
      </c>
      <c r="I22" s="42">
        <f t="shared" si="17"/>
        <v>28</v>
      </c>
      <c r="J22" s="42">
        <f t="shared" si="18"/>
        <v>39.6</v>
      </c>
      <c r="K22" s="42">
        <f t="shared" si="19"/>
        <v>2970</v>
      </c>
      <c r="L22" s="92">
        <f t="shared" si="20"/>
        <v>4530</v>
      </c>
      <c r="M22" s="92">
        <f t="shared" si="21"/>
        <v>594178</v>
      </c>
      <c r="N22" s="92">
        <f t="shared" si="22"/>
        <v>906272</v>
      </c>
      <c r="O22" s="92">
        <f t="shared" si="23"/>
        <v>1500450</v>
      </c>
    </row>
    <row r="23" spans="2:17" s="21" customFormat="1" ht="34.5" customHeight="1" x14ac:dyDescent="0.3">
      <c r="B23" s="91" t="s">
        <v>55</v>
      </c>
      <c r="C23" s="83">
        <v>106.09</v>
      </c>
      <c r="D23" s="46">
        <v>2005</v>
      </c>
      <c r="E23" s="22">
        <v>2024</v>
      </c>
      <c r="F23" s="42">
        <v>50</v>
      </c>
      <c r="G23" s="92">
        <v>7500</v>
      </c>
      <c r="H23" s="42">
        <f t="shared" si="16"/>
        <v>19</v>
      </c>
      <c r="I23" s="42">
        <f t="shared" si="17"/>
        <v>31</v>
      </c>
      <c r="J23" s="42">
        <f t="shared" si="18"/>
        <v>34.200000000000003</v>
      </c>
      <c r="K23" s="42">
        <f t="shared" si="19"/>
        <v>2565</v>
      </c>
      <c r="L23" s="92">
        <f t="shared" si="20"/>
        <v>4935</v>
      </c>
      <c r="M23" s="92">
        <f t="shared" si="21"/>
        <v>272121</v>
      </c>
      <c r="N23" s="92">
        <f t="shared" si="22"/>
        <v>523554</v>
      </c>
      <c r="O23" s="92">
        <f t="shared" si="23"/>
        <v>795675</v>
      </c>
    </row>
    <row r="24" spans="2:17" s="21" customFormat="1" x14ac:dyDescent="0.3">
      <c r="B24" s="46" t="s">
        <v>56</v>
      </c>
      <c r="C24" s="83">
        <v>28.21</v>
      </c>
      <c r="D24" s="46">
        <v>1991</v>
      </c>
      <c r="E24" s="22">
        <v>2024</v>
      </c>
      <c r="F24" s="42">
        <v>50</v>
      </c>
      <c r="G24" s="92">
        <v>7000</v>
      </c>
      <c r="H24" s="42">
        <f t="shared" si="16"/>
        <v>33</v>
      </c>
      <c r="I24" s="42">
        <f t="shared" si="17"/>
        <v>17</v>
      </c>
      <c r="J24" s="42">
        <f t="shared" si="18"/>
        <v>59.4</v>
      </c>
      <c r="K24" s="42">
        <f t="shared" si="19"/>
        <v>4158</v>
      </c>
      <c r="L24" s="92">
        <f t="shared" si="20"/>
        <v>2842</v>
      </c>
      <c r="M24" s="92">
        <f t="shared" si="21"/>
        <v>117297</v>
      </c>
      <c r="N24" s="92">
        <f t="shared" si="22"/>
        <v>80173</v>
      </c>
      <c r="O24" s="92">
        <f t="shared" si="23"/>
        <v>197470</v>
      </c>
    </row>
    <row r="25" spans="2:17" s="21" customFormat="1" x14ac:dyDescent="0.3">
      <c r="B25" s="46" t="s">
        <v>57</v>
      </c>
      <c r="C25" s="83">
        <v>153.44999999999999</v>
      </c>
      <c r="D25" s="46">
        <v>2002</v>
      </c>
      <c r="E25" s="22">
        <v>2024</v>
      </c>
      <c r="F25" s="42">
        <v>50</v>
      </c>
      <c r="G25" s="92">
        <v>15000</v>
      </c>
      <c r="H25" s="42">
        <f t="shared" si="16"/>
        <v>22</v>
      </c>
      <c r="I25" s="42">
        <f t="shared" si="17"/>
        <v>28</v>
      </c>
      <c r="J25" s="42">
        <f t="shared" si="18"/>
        <v>39.6</v>
      </c>
      <c r="K25" s="42">
        <f t="shared" si="19"/>
        <v>5940</v>
      </c>
      <c r="L25" s="92">
        <f t="shared" si="20"/>
        <v>9060</v>
      </c>
      <c r="M25" s="92">
        <f t="shared" si="21"/>
        <v>911493</v>
      </c>
      <c r="N25" s="92">
        <f t="shared" si="22"/>
        <v>1390257</v>
      </c>
      <c r="O25" s="92">
        <f t="shared" si="23"/>
        <v>2301750</v>
      </c>
    </row>
    <row r="26" spans="2:17" s="21" customFormat="1" x14ac:dyDescent="0.3">
      <c r="B26" s="46" t="s">
        <v>61</v>
      </c>
      <c r="C26" s="83">
        <v>106.29</v>
      </c>
      <c r="D26" s="46">
        <v>2002</v>
      </c>
      <c r="E26" s="22">
        <v>2024</v>
      </c>
      <c r="F26" s="42">
        <v>50</v>
      </c>
      <c r="G26" s="92">
        <v>7500</v>
      </c>
      <c r="H26" s="42">
        <f t="shared" si="16"/>
        <v>22</v>
      </c>
      <c r="I26" s="42">
        <f t="shared" si="17"/>
        <v>28</v>
      </c>
      <c r="J26" s="42">
        <f t="shared" si="18"/>
        <v>39.6</v>
      </c>
      <c r="K26" s="42">
        <f t="shared" si="19"/>
        <v>2970</v>
      </c>
      <c r="L26" s="92">
        <f t="shared" si="20"/>
        <v>4530</v>
      </c>
      <c r="M26" s="92">
        <f t="shared" si="21"/>
        <v>315681</v>
      </c>
      <c r="N26" s="92">
        <f t="shared" si="22"/>
        <v>481494</v>
      </c>
      <c r="O26" s="92">
        <f t="shared" si="23"/>
        <v>797175</v>
      </c>
    </row>
    <row r="27" spans="2:17" s="21" customFormat="1" x14ac:dyDescent="0.3">
      <c r="B27" s="46" t="s">
        <v>58</v>
      </c>
      <c r="C27" s="83">
        <v>45.63</v>
      </c>
      <c r="D27" s="46">
        <v>1991</v>
      </c>
      <c r="E27" s="22">
        <v>2024</v>
      </c>
      <c r="F27" s="42">
        <v>50</v>
      </c>
      <c r="G27" s="92">
        <v>7500</v>
      </c>
      <c r="H27" s="42">
        <f t="shared" si="16"/>
        <v>33</v>
      </c>
      <c r="I27" s="42">
        <f t="shared" si="17"/>
        <v>17</v>
      </c>
      <c r="J27" s="42">
        <f t="shared" si="18"/>
        <v>59.4</v>
      </c>
      <c r="K27" s="42">
        <f t="shared" si="19"/>
        <v>4455</v>
      </c>
      <c r="L27" s="92">
        <f t="shared" si="20"/>
        <v>3045</v>
      </c>
      <c r="M27" s="92">
        <f t="shared" si="21"/>
        <v>203282</v>
      </c>
      <c r="N27" s="92">
        <f t="shared" si="22"/>
        <v>138943</v>
      </c>
      <c r="O27" s="92">
        <f t="shared" si="23"/>
        <v>342225</v>
      </c>
    </row>
    <row r="28" spans="2:17" s="21" customFormat="1" x14ac:dyDescent="0.3">
      <c r="B28" s="46" t="s">
        <v>59</v>
      </c>
      <c r="C28" s="46">
        <v>12</v>
      </c>
      <c r="D28" s="46">
        <v>1991</v>
      </c>
      <c r="E28" s="22">
        <v>2024</v>
      </c>
      <c r="F28" s="42">
        <v>50</v>
      </c>
      <c r="G28" s="92">
        <v>7500</v>
      </c>
      <c r="H28" s="42">
        <f t="shared" si="16"/>
        <v>33</v>
      </c>
      <c r="I28" s="42">
        <f t="shared" si="17"/>
        <v>17</v>
      </c>
      <c r="J28" s="42">
        <f t="shared" si="18"/>
        <v>59.4</v>
      </c>
      <c r="K28" s="42">
        <f t="shared" si="19"/>
        <v>4455</v>
      </c>
      <c r="L28" s="92">
        <f t="shared" si="20"/>
        <v>3045</v>
      </c>
      <c r="M28" s="92">
        <f t="shared" si="21"/>
        <v>53460</v>
      </c>
      <c r="N28" s="92">
        <f t="shared" si="22"/>
        <v>36540</v>
      </c>
      <c r="O28" s="92">
        <f t="shared" si="23"/>
        <v>90000</v>
      </c>
      <c r="Q28" s="21">
        <f>2024-2002</f>
        <v>22</v>
      </c>
    </row>
    <row r="29" spans="2:17" s="21" customFormat="1" x14ac:dyDescent="0.3">
      <c r="B29" s="46" t="s">
        <v>60</v>
      </c>
      <c r="C29" s="46">
        <v>1</v>
      </c>
      <c r="D29" s="46">
        <v>2002</v>
      </c>
      <c r="E29" s="22">
        <v>2002</v>
      </c>
      <c r="F29" s="42"/>
      <c r="G29" s="92">
        <v>100000</v>
      </c>
      <c r="H29" s="42">
        <f t="shared" si="0"/>
        <v>0</v>
      </c>
      <c r="I29" s="42">
        <f t="shared" si="1"/>
        <v>0</v>
      </c>
      <c r="J29" s="42">
        <f t="shared" si="2"/>
        <v>0</v>
      </c>
      <c r="K29" s="42">
        <f t="shared" si="3"/>
        <v>0</v>
      </c>
      <c r="L29" s="92">
        <v>100000</v>
      </c>
      <c r="M29" s="92">
        <f t="shared" si="5"/>
        <v>0</v>
      </c>
      <c r="N29" s="92">
        <f t="shared" si="6"/>
        <v>100000</v>
      </c>
      <c r="O29" s="92">
        <f t="shared" si="7"/>
        <v>100000</v>
      </c>
    </row>
    <row r="30" spans="2:17" s="21" customFormat="1" x14ac:dyDescent="0.3">
      <c r="B30" s="46"/>
      <c r="C30" s="59"/>
      <c r="D30" s="46"/>
      <c r="E30" s="22"/>
      <c r="F30" s="42"/>
      <c r="G30" s="42"/>
      <c r="H30" s="42"/>
      <c r="I30" s="42"/>
      <c r="J30" s="42"/>
      <c r="K30" s="42"/>
      <c r="L30" s="42"/>
      <c r="M30" s="42">
        <f t="shared" si="5"/>
        <v>0</v>
      </c>
      <c r="N30" s="42">
        <f t="shared" si="6"/>
        <v>0</v>
      </c>
      <c r="O30" s="42">
        <f t="shared" si="7"/>
        <v>0</v>
      </c>
    </row>
    <row r="31" spans="2:17" s="25" customFormat="1" x14ac:dyDescent="0.3">
      <c r="B31" s="24" t="s">
        <v>30</v>
      </c>
      <c r="C31" s="60">
        <f>SUM(C16:C28)</f>
        <v>2446.02</v>
      </c>
      <c r="D31" s="45"/>
      <c r="E31" s="45"/>
      <c r="F31" s="43"/>
      <c r="G31" s="42"/>
      <c r="H31" s="44"/>
      <c r="I31" s="44"/>
      <c r="J31" s="44"/>
      <c r="K31" s="44"/>
      <c r="L31" s="44"/>
      <c r="M31" s="93">
        <f>SUM(M16:M30)</f>
        <v>13158442</v>
      </c>
      <c r="N31" s="93">
        <f>SUM(N16:N30)</f>
        <v>24269798</v>
      </c>
      <c r="O31" s="93">
        <f>SUM(O16:O30)</f>
        <v>37428240</v>
      </c>
    </row>
    <row r="32" spans="2:17" s="25" customFormat="1" ht="18.75" customHeight="1" x14ac:dyDescent="0.3">
      <c r="B32" s="48"/>
      <c r="C32" s="61"/>
      <c r="D32" s="49"/>
      <c r="E32" s="49"/>
      <c r="F32" s="50"/>
      <c r="G32" s="51"/>
      <c r="H32" s="52"/>
      <c r="I32" s="52"/>
      <c r="J32" s="52"/>
      <c r="K32" s="52"/>
      <c r="L32" s="52"/>
      <c r="M32" s="53"/>
      <c r="N32" s="53"/>
      <c r="O32" s="53"/>
    </row>
    <row r="33" spans="2:16" ht="30" x14ac:dyDescent="0.3">
      <c r="B33" s="150" t="s">
        <v>21</v>
      </c>
      <c r="C33" s="150"/>
      <c r="D33" s="23"/>
      <c r="E33" s="23"/>
      <c r="F33" s="15"/>
      <c r="G33" s="73"/>
      <c r="H33" s="28"/>
      <c r="I33" s="1"/>
      <c r="J33" s="89" t="s">
        <v>35</v>
      </c>
      <c r="K33" s="89" t="s">
        <v>37</v>
      </c>
      <c r="L33" s="90" t="s">
        <v>34</v>
      </c>
      <c r="M33" s="89" t="s">
        <v>46</v>
      </c>
      <c r="N33" s="89" t="s">
        <v>36</v>
      </c>
      <c r="O33" s="1"/>
    </row>
    <row r="34" spans="2:16" x14ac:dyDescent="0.3">
      <c r="B34" s="12" t="s">
        <v>22</v>
      </c>
      <c r="C34" s="74"/>
      <c r="D34" s="23"/>
      <c r="E34" s="4"/>
      <c r="F34" s="73"/>
      <c r="H34" s="28"/>
      <c r="I34" s="1"/>
      <c r="J34" s="84">
        <v>1</v>
      </c>
      <c r="K34" s="84" t="s">
        <v>38</v>
      </c>
      <c r="L34" s="84">
        <v>8</v>
      </c>
      <c r="M34" s="84">
        <f>L34*100</f>
        <v>800</v>
      </c>
      <c r="N34" s="85">
        <f>M34*10.764</f>
        <v>8611.1999999999989</v>
      </c>
      <c r="O34" s="1"/>
    </row>
    <row r="35" spans="2:16" x14ac:dyDescent="0.3">
      <c r="B35" s="13" t="s">
        <v>4</v>
      </c>
      <c r="C35" s="75"/>
      <c r="D35" s="23"/>
      <c r="E35" s="23"/>
      <c r="G35" s="28"/>
      <c r="H35" s="28"/>
      <c r="I35" s="25"/>
      <c r="J35" s="84">
        <v>2</v>
      </c>
      <c r="K35" s="86" t="s">
        <v>39</v>
      </c>
      <c r="L35" s="84">
        <v>88.2</v>
      </c>
      <c r="M35" s="84">
        <f t="shared" ref="M35:M40" si="24">L35*100</f>
        <v>8820</v>
      </c>
      <c r="N35" s="85">
        <f t="shared" ref="N35:N41" si="25">M35*10.764</f>
        <v>94938.48</v>
      </c>
      <c r="O35" s="1"/>
    </row>
    <row r="36" spans="2:16" x14ac:dyDescent="0.3">
      <c r="B36" s="13" t="s">
        <v>5</v>
      </c>
      <c r="C36" s="74"/>
      <c r="D36" s="23"/>
      <c r="E36" s="23"/>
      <c r="G36" s="28"/>
      <c r="H36" s="28"/>
      <c r="I36" s="1"/>
      <c r="J36" s="84">
        <v>3</v>
      </c>
      <c r="K36" s="84" t="s">
        <v>40</v>
      </c>
      <c r="L36" s="84">
        <v>88</v>
      </c>
      <c r="M36" s="84">
        <f t="shared" si="24"/>
        <v>8800</v>
      </c>
      <c r="N36" s="85">
        <f t="shared" si="25"/>
        <v>94723.199999999997</v>
      </c>
      <c r="O36" s="1"/>
    </row>
    <row r="37" spans="2:16" x14ac:dyDescent="0.3">
      <c r="B37" s="26"/>
      <c r="C37" s="62"/>
      <c r="D37" s="23"/>
      <c r="E37" s="47"/>
      <c r="G37" s="28"/>
      <c r="H37" s="28"/>
      <c r="I37" s="1"/>
      <c r="J37" s="84">
        <v>4</v>
      </c>
      <c r="K37" s="84" t="s">
        <v>41</v>
      </c>
      <c r="L37" s="84">
        <v>158.80000000000001</v>
      </c>
      <c r="M37" s="84">
        <f t="shared" si="24"/>
        <v>15880.000000000002</v>
      </c>
      <c r="N37" s="85">
        <f t="shared" si="25"/>
        <v>170932.32</v>
      </c>
      <c r="O37" s="1"/>
    </row>
    <row r="38" spans="2:16" ht="16.5" customHeight="1" x14ac:dyDescent="0.3">
      <c r="B38" s="151" t="s">
        <v>12</v>
      </c>
      <c r="C38" s="152"/>
      <c r="D38" s="23"/>
      <c r="E38" s="27"/>
      <c r="F38" s="11"/>
      <c r="G38" s="71"/>
      <c r="H38" s="70"/>
      <c r="I38" s="1"/>
      <c r="J38" s="84">
        <v>5</v>
      </c>
      <c r="K38" s="84" t="s">
        <v>42</v>
      </c>
      <c r="L38" s="84">
        <v>68.8</v>
      </c>
      <c r="M38" s="84">
        <f t="shared" si="24"/>
        <v>6880</v>
      </c>
      <c r="N38" s="85">
        <f t="shared" si="25"/>
        <v>74056.319999999992</v>
      </c>
      <c r="O38" s="1"/>
    </row>
    <row r="39" spans="2:16" x14ac:dyDescent="0.3">
      <c r="B39" s="12" t="s">
        <v>8</v>
      </c>
      <c r="C39" s="56"/>
      <c r="D39" s="29"/>
      <c r="E39" s="4"/>
      <c r="F39" s="11"/>
      <c r="G39" s="1"/>
      <c r="H39" s="54"/>
      <c r="I39" s="1"/>
      <c r="J39" s="84">
        <v>6</v>
      </c>
      <c r="K39" s="84" t="s">
        <v>43</v>
      </c>
      <c r="L39" s="84">
        <v>30</v>
      </c>
      <c r="M39" s="84">
        <f t="shared" si="24"/>
        <v>3000</v>
      </c>
      <c r="N39" s="85">
        <f t="shared" si="25"/>
        <v>32291.999999999996</v>
      </c>
      <c r="O39" s="1"/>
    </row>
    <row r="40" spans="2:16" x14ac:dyDescent="0.3">
      <c r="B40" s="13" t="s">
        <v>4</v>
      </c>
      <c r="C40" s="55"/>
      <c r="D40" s="17"/>
      <c r="E40" s="4"/>
      <c r="G40" s="1"/>
      <c r="H40" s="54"/>
      <c r="I40" s="1"/>
      <c r="J40" s="84">
        <v>7</v>
      </c>
      <c r="K40" s="84" t="s">
        <v>44</v>
      </c>
      <c r="L40" s="84">
        <v>1</v>
      </c>
      <c r="M40" s="84">
        <f t="shared" si="24"/>
        <v>100</v>
      </c>
      <c r="N40" s="85">
        <f t="shared" si="25"/>
        <v>1076.3999999999999</v>
      </c>
      <c r="O40" s="1"/>
    </row>
    <row r="41" spans="2:16" x14ac:dyDescent="0.3">
      <c r="B41" s="13" t="s">
        <v>5</v>
      </c>
      <c r="C41" s="56">
        <f>ROUND((C39*C40),0)</f>
        <v>0</v>
      </c>
      <c r="D41" s="5"/>
      <c r="E41" s="4"/>
      <c r="G41" s="1"/>
      <c r="H41" s="54"/>
      <c r="I41" s="1"/>
      <c r="J41" s="160" t="s">
        <v>45</v>
      </c>
      <c r="K41" s="161"/>
      <c r="L41" s="87">
        <f>SUM(L34:L40)</f>
        <v>442.8</v>
      </c>
      <c r="M41" s="87">
        <f>SUM(M34:M40)</f>
        <v>44280</v>
      </c>
      <c r="N41" s="88">
        <f t="shared" si="25"/>
        <v>476629.92</v>
      </c>
      <c r="O41" s="1"/>
    </row>
    <row r="42" spans="2:16" x14ac:dyDescent="0.3">
      <c r="C42" s="63"/>
      <c r="D42" s="5"/>
      <c r="E42" s="5"/>
      <c r="G42" s="1"/>
      <c r="H42" s="54"/>
      <c r="I42" s="54"/>
      <c r="J42" s="7"/>
      <c r="M42" s="11"/>
    </row>
    <row r="43" spans="2:16" x14ac:dyDescent="0.3">
      <c r="B43" s="153"/>
      <c r="C43" s="154"/>
      <c r="D43" s="11"/>
      <c r="E43" s="4"/>
      <c r="F43" s="7"/>
      <c r="G43" s="1"/>
      <c r="H43" s="1"/>
      <c r="I43" s="54"/>
      <c r="J43" s="54"/>
      <c r="K43" s="54"/>
      <c r="M43" s="4"/>
      <c r="N43" s="1"/>
      <c r="O43" s="1"/>
    </row>
    <row r="44" spans="2:16" x14ac:dyDescent="0.3">
      <c r="B44" s="30" t="s">
        <v>10</v>
      </c>
      <c r="C44" s="74">
        <f>C11</f>
        <v>172692000</v>
      </c>
      <c r="D44" s="9"/>
      <c r="E44" s="9"/>
      <c r="F44" s="10"/>
      <c r="H44" s="1"/>
      <c r="J44" s="82"/>
      <c r="K44" s="25"/>
      <c r="L44" s="1"/>
      <c r="M44" s="4"/>
      <c r="N44" s="1"/>
      <c r="O44" s="1"/>
    </row>
    <row r="45" spans="2:16" x14ac:dyDescent="0.3">
      <c r="B45" s="30" t="s">
        <v>11</v>
      </c>
      <c r="C45" s="74">
        <f>N31</f>
        <v>24269798</v>
      </c>
      <c r="D45" s="9"/>
      <c r="E45" s="9"/>
      <c r="F45" s="77"/>
      <c r="G45" s="71"/>
      <c r="J45" s="10"/>
      <c r="K45" s="4"/>
      <c r="M45" s="4"/>
      <c r="N45" s="1"/>
      <c r="P45" s="4"/>
    </row>
    <row r="46" spans="2:16" ht="33" x14ac:dyDescent="0.3">
      <c r="B46" s="30" t="s">
        <v>23</v>
      </c>
      <c r="C46" s="74"/>
      <c r="D46" s="9"/>
      <c r="E46" s="9"/>
      <c r="F46" s="10"/>
      <c r="G46" s="10"/>
      <c r="H46" s="1"/>
      <c r="I46" s="1"/>
      <c r="J46" s="82"/>
      <c r="L46" s="1"/>
      <c r="M46" s="4"/>
      <c r="N46" s="1"/>
      <c r="O46" s="1"/>
    </row>
    <row r="47" spans="2:16" x14ac:dyDescent="0.3">
      <c r="B47" s="30" t="s">
        <v>9</v>
      </c>
      <c r="C47" s="74">
        <f>C41</f>
        <v>0</v>
      </c>
      <c r="D47" s="9"/>
      <c r="E47" s="9"/>
      <c r="F47" s="10"/>
      <c r="G47" s="10"/>
      <c r="H47" s="1"/>
      <c r="J47" s="10"/>
      <c r="K47" s="4"/>
      <c r="M47" s="4"/>
      <c r="N47" s="1"/>
      <c r="O47" s="1"/>
    </row>
    <row r="48" spans="2:16" x14ac:dyDescent="0.3">
      <c r="B48" s="31" t="s">
        <v>27</v>
      </c>
      <c r="C48" s="95">
        <f>C44+C45+C46+C47</f>
        <v>196961798</v>
      </c>
      <c r="D48" s="8"/>
      <c r="E48" s="4"/>
      <c r="F48" s="15"/>
      <c r="J48" s="1"/>
      <c r="K48" s="4"/>
      <c r="M48" s="4"/>
      <c r="N48" s="1"/>
      <c r="O48" s="1"/>
    </row>
    <row r="49" spans="2:15" x14ac:dyDescent="0.3">
      <c r="B49" s="31" t="s">
        <v>6</v>
      </c>
      <c r="C49" s="95">
        <f>ROUND(C48*0.9,0)</f>
        <v>177265618</v>
      </c>
      <c r="D49" s="8"/>
      <c r="E49" s="4"/>
      <c r="J49" s="1"/>
      <c r="K49" s="4"/>
      <c r="M49" s="4"/>
      <c r="N49" s="1"/>
      <c r="O49" s="1"/>
    </row>
    <row r="50" spans="2:15" x14ac:dyDescent="0.3">
      <c r="B50" s="31" t="s">
        <v>7</v>
      </c>
      <c r="C50" s="95">
        <f>MROUND(C48*80%,1)</f>
        <v>157569438</v>
      </c>
      <c r="D50" s="8"/>
      <c r="E50" s="4"/>
      <c r="F50" s="15"/>
      <c r="G50" s="15"/>
      <c r="J50" s="1"/>
      <c r="K50" s="4"/>
      <c r="M50" s="4"/>
      <c r="N50" s="1"/>
      <c r="O50" s="1"/>
    </row>
    <row r="51" spans="2:15" x14ac:dyDescent="0.3">
      <c r="B51" s="31" t="s">
        <v>24</v>
      </c>
      <c r="C51" s="95">
        <f>C45*0.85</f>
        <v>20629328.300000001</v>
      </c>
      <c r="D51" s="4"/>
      <c r="E51" s="4"/>
      <c r="F51" s="4"/>
      <c r="J51" s="1"/>
      <c r="K51" s="4"/>
      <c r="M51" s="32"/>
      <c r="N51" s="1"/>
      <c r="O51" s="1"/>
    </row>
    <row r="52" spans="2:15" x14ac:dyDescent="0.3">
      <c r="B52" s="30" t="s">
        <v>25</v>
      </c>
      <c r="C52" s="95">
        <f>D11+N31</f>
        <v>24269798</v>
      </c>
      <c r="D52" s="4"/>
      <c r="E52" s="4"/>
      <c r="F52" s="4"/>
      <c r="J52" s="1"/>
      <c r="K52" s="4"/>
      <c r="M52" s="32"/>
      <c r="N52" s="1"/>
      <c r="O52" s="1"/>
    </row>
    <row r="53" spans="2:15" x14ac:dyDescent="0.3">
      <c r="B53" s="1"/>
      <c r="F53" s="77"/>
    </row>
    <row r="54" spans="2:15" x14ac:dyDescent="0.3">
      <c r="B54" s="1"/>
      <c r="F54" s="77"/>
      <c r="M54" s="33"/>
    </row>
    <row r="55" spans="2:15" x14ac:dyDescent="0.3">
      <c r="B55" s="1"/>
      <c r="M55" s="33"/>
    </row>
    <row r="56" spans="2:15" x14ac:dyDescent="0.3">
      <c r="B56" s="1"/>
      <c r="M56" s="33"/>
    </row>
    <row r="57" spans="2:15" x14ac:dyDescent="0.3">
      <c r="B57" s="1"/>
      <c r="M57" s="33"/>
    </row>
    <row r="58" spans="2:15" x14ac:dyDescent="0.3">
      <c r="B58" s="1"/>
      <c r="M58" s="33"/>
    </row>
    <row r="59" spans="2:15" x14ac:dyDescent="0.3">
      <c r="B59" s="1"/>
      <c r="M59" s="33"/>
    </row>
    <row r="60" spans="2:15" x14ac:dyDescent="0.3">
      <c r="B60" s="1"/>
      <c r="M60" s="33"/>
    </row>
    <row r="61" spans="2:15" x14ac:dyDescent="0.3">
      <c r="B61" s="1"/>
    </row>
    <row r="62" spans="2:15" x14ac:dyDescent="0.3">
      <c r="B62" s="1"/>
    </row>
    <row r="63" spans="2:15" x14ac:dyDescent="0.3">
      <c r="B63" s="1"/>
      <c r="C63" s="54"/>
    </row>
    <row r="64" spans="2:15" x14ac:dyDescent="0.3">
      <c r="B64" s="1"/>
      <c r="C64" s="54"/>
    </row>
    <row r="65" spans="2:11" x14ac:dyDescent="0.3">
      <c r="B65" s="1"/>
      <c r="C65" s="54"/>
    </row>
    <row r="66" spans="2:11" x14ac:dyDescent="0.3">
      <c r="B66" s="1"/>
    </row>
    <row r="67" spans="2:11" x14ac:dyDescent="0.3">
      <c r="B67" s="1"/>
      <c r="C67" s="54"/>
    </row>
    <row r="68" spans="2:11" x14ac:dyDescent="0.3">
      <c r="B68" s="1"/>
      <c r="C68" s="54"/>
      <c r="G68" s="15"/>
    </row>
    <row r="69" spans="2:11" x14ac:dyDescent="0.3">
      <c r="B69" s="1"/>
      <c r="C69" s="54"/>
    </row>
    <row r="70" spans="2:11" x14ac:dyDescent="0.3">
      <c r="B70" s="1"/>
      <c r="C70" s="54"/>
      <c r="H70" s="15"/>
    </row>
    <row r="71" spans="2:11" x14ac:dyDescent="0.3">
      <c r="B71" s="1"/>
      <c r="C71" s="54"/>
      <c r="H71" s="15"/>
    </row>
    <row r="72" spans="2:11" x14ac:dyDescent="0.3">
      <c r="B72" s="1"/>
      <c r="C72" s="54"/>
      <c r="G72" s="34"/>
      <c r="H72" s="34"/>
      <c r="I72" s="34"/>
      <c r="J72" s="34"/>
      <c r="K72" s="6"/>
    </row>
    <row r="73" spans="2:11" x14ac:dyDescent="0.3">
      <c r="B73" s="1"/>
      <c r="C73" s="54"/>
      <c r="G73" s="32"/>
      <c r="H73" s="1"/>
      <c r="I73" s="32"/>
      <c r="J73" s="32"/>
    </row>
    <row r="74" spans="2:11" x14ac:dyDescent="0.3">
      <c r="B74" s="1"/>
      <c r="C74" s="54"/>
      <c r="G74" s="32"/>
      <c r="H74" s="32"/>
      <c r="I74" s="41"/>
      <c r="J74" s="41"/>
    </row>
    <row r="75" spans="2:11" x14ac:dyDescent="0.3">
      <c r="G75" s="32"/>
      <c r="H75" s="32"/>
      <c r="I75" s="32"/>
      <c r="J75" s="32"/>
    </row>
    <row r="76" spans="2:11" x14ac:dyDescent="0.3">
      <c r="G76" s="32"/>
      <c r="H76" s="35"/>
      <c r="I76" s="32"/>
      <c r="J76" s="32"/>
    </row>
    <row r="77" spans="2:11" x14ac:dyDescent="0.3">
      <c r="G77" s="32"/>
      <c r="H77" s="32"/>
      <c r="I77" s="32"/>
      <c r="J77" s="32"/>
    </row>
    <row r="78" spans="2:11" x14ac:dyDescent="0.3">
      <c r="B78" s="1"/>
      <c r="C78" s="54"/>
      <c r="G78" s="32"/>
      <c r="H78" s="32"/>
      <c r="I78" s="32"/>
      <c r="J78" s="32"/>
    </row>
    <row r="79" spans="2:11" x14ac:dyDescent="0.3">
      <c r="B79" s="1"/>
      <c r="C79" s="54"/>
      <c r="G79" s="32"/>
      <c r="H79" s="32"/>
      <c r="I79" s="32"/>
      <c r="J79" s="32"/>
    </row>
    <row r="80" spans="2:11" x14ac:dyDescent="0.3">
      <c r="B80" s="1"/>
      <c r="C80" s="54"/>
      <c r="G80" s="32"/>
      <c r="H80" s="32"/>
      <c r="I80" s="32"/>
      <c r="J80" s="32"/>
    </row>
    <row r="81" spans="2:10" x14ac:dyDescent="0.3">
      <c r="B81" s="1"/>
      <c r="C81" s="54"/>
      <c r="G81" s="32"/>
      <c r="H81" s="32"/>
      <c r="I81" s="32"/>
      <c r="J81" s="32"/>
    </row>
    <row r="82" spans="2:10" x14ac:dyDescent="0.3">
      <c r="B82" s="1"/>
      <c r="C82" s="54"/>
      <c r="G82" s="32"/>
      <c r="H82" s="32"/>
      <c r="I82" s="32"/>
      <c r="J82" s="32"/>
    </row>
    <row r="83" spans="2:10" x14ac:dyDescent="0.3">
      <c r="B83" s="1"/>
      <c r="C83" s="54"/>
    </row>
    <row r="84" spans="2:10" x14ac:dyDescent="0.3">
      <c r="B84" s="1"/>
      <c r="C84" s="54"/>
    </row>
    <row r="85" spans="2:10" x14ac:dyDescent="0.3">
      <c r="B85" s="1"/>
      <c r="C85" s="54"/>
    </row>
    <row r="86" spans="2:10" x14ac:dyDescent="0.3">
      <c r="B86" s="1"/>
      <c r="C86" s="54"/>
    </row>
    <row r="87" spans="2:10" x14ac:dyDescent="0.3">
      <c r="B87" s="1"/>
      <c r="C87" s="54"/>
    </row>
    <row r="88" spans="2:10" x14ac:dyDescent="0.3">
      <c r="B88" s="1"/>
      <c r="C88" s="54"/>
      <c r="G88" s="36"/>
    </row>
    <row r="89" spans="2:10" x14ac:dyDescent="0.3">
      <c r="B89" s="1"/>
      <c r="C89" s="54"/>
      <c r="G89" s="36"/>
    </row>
    <row r="90" spans="2:10" x14ac:dyDescent="0.3">
      <c r="B90" s="1"/>
      <c r="C90" s="54"/>
      <c r="G90" s="36"/>
    </row>
    <row r="91" spans="2:10" x14ac:dyDescent="0.3">
      <c r="B91" s="1"/>
      <c r="C91" s="54"/>
      <c r="G91" s="36"/>
    </row>
    <row r="92" spans="2:10" x14ac:dyDescent="0.3">
      <c r="B92" s="1"/>
      <c r="C92" s="54"/>
      <c r="G92" s="36"/>
    </row>
    <row r="93" spans="2:10" x14ac:dyDescent="0.3">
      <c r="B93" s="1"/>
      <c r="C93" s="54"/>
      <c r="G93" s="36"/>
    </row>
    <row r="94" spans="2:10" x14ac:dyDescent="0.3">
      <c r="B94" s="1"/>
      <c r="C94" s="54"/>
      <c r="G94" s="36"/>
    </row>
    <row r="95" spans="2:10" x14ac:dyDescent="0.3">
      <c r="B95" s="1"/>
      <c r="C95" s="54"/>
      <c r="G95" s="36"/>
    </row>
    <row r="96" spans="2:10" x14ac:dyDescent="0.3">
      <c r="B96" s="1"/>
      <c r="C96" s="54"/>
      <c r="G96" s="36"/>
    </row>
    <row r="97" spans="2:7" x14ac:dyDescent="0.3">
      <c r="B97" s="1"/>
      <c r="C97" s="54"/>
      <c r="G97" s="36"/>
    </row>
    <row r="98" spans="2:7" x14ac:dyDescent="0.3">
      <c r="B98" s="1"/>
      <c r="C98" s="54"/>
    </row>
    <row r="99" spans="2:7" x14ac:dyDescent="0.3">
      <c r="B99" s="1"/>
      <c r="C99" s="54"/>
    </row>
    <row r="100" spans="2:7" x14ac:dyDescent="0.3">
      <c r="B100" s="1"/>
      <c r="C100" s="54"/>
    </row>
    <row r="101" spans="2:7" x14ac:dyDescent="0.3">
      <c r="B101" s="1"/>
      <c r="C101" s="54"/>
    </row>
    <row r="102" spans="2:7" x14ac:dyDescent="0.3">
      <c r="B102" s="1"/>
      <c r="C102" s="54"/>
    </row>
    <row r="103" spans="2:7" x14ac:dyDescent="0.3">
      <c r="B103" s="1"/>
      <c r="C103" s="54"/>
    </row>
    <row r="104" spans="2:7" x14ac:dyDescent="0.3">
      <c r="B104" s="1"/>
      <c r="C104" s="54"/>
    </row>
    <row r="105" spans="2:7" x14ac:dyDescent="0.3">
      <c r="B105" s="1"/>
      <c r="C105" s="54"/>
    </row>
    <row r="106" spans="2:7" x14ac:dyDescent="0.3">
      <c r="B106" s="1"/>
      <c r="C106" s="54"/>
    </row>
    <row r="107" spans="2:7" x14ac:dyDescent="0.3">
      <c r="B107" s="1"/>
      <c r="C107" s="54"/>
    </row>
    <row r="108" spans="2:7" x14ac:dyDescent="0.3">
      <c r="B108" s="1"/>
      <c r="C108" s="54"/>
    </row>
    <row r="109" spans="2:7" x14ac:dyDescent="0.3">
      <c r="B109" s="1"/>
      <c r="C109" s="54"/>
    </row>
    <row r="110" spans="2:7" x14ac:dyDescent="0.3">
      <c r="B110" s="1"/>
      <c r="C110" s="54"/>
    </row>
    <row r="111" spans="2:7" x14ac:dyDescent="0.3">
      <c r="B111" s="1"/>
      <c r="C111" s="54"/>
    </row>
    <row r="112" spans="2:7" x14ac:dyDescent="0.3">
      <c r="B112" s="1"/>
      <c r="C112" s="54"/>
    </row>
    <row r="113" spans="2:3" x14ac:dyDescent="0.3">
      <c r="B113" s="1"/>
      <c r="C113" s="54"/>
    </row>
    <row r="114" spans="2:3" x14ac:dyDescent="0.3">
      <c r="B114" s="1"/>
      <c r="C114" s="54"/>
    </row>
    <row r="115" spans="2:3" x14ac:dyDescent="0.3">
      <c r="B115" s="1"/>
      <c r="C115" s="54"/>
    </row>
    <row r="116" spans="2:3" x14ac:dyDescent="0.3">
      <c r="B116" s="1"/>
      <c r="C116" s="54"/>
    </row>
    <row r="117" spans="2:3" x14ac:dyDescent="0.3">
      <c r="B117" s="1"/>
      <c r="C117" s="54"/>
    </row>
    <row r="118" spans="2:3" x14ac:dyDescent="0.3">
      <c r="B118" s="1"/>
      <c r="C118" s="54"/>
    </row>
    <row r="119" spans="2:3" x14ac:dyDescent="0.3">
      <c r="B119" s="1"/>
      <c r="C119" s="54"/>
    </row>
    <row r="120" spans="2:3" x14ac:dyDescent="0.3">
      <c r="B120" s="1"/>
      <c r="C120" s="54"/>
    </row>
    <row r="121" spans="2:3" x14ac:dyDescent="0.3">
      <c r="B121" s="1"/>
      <c r="C121" s="54"/>
    </row>
    <row r="122" spans="2:3" x14ac:dyDescent="0.3">
      <c r="B122" s="1"/>
      <c r="C122" s="54"/>
    </row>
    <row r="123" spans="2:3" x14ac:dyDescent="0.3">
      <c r="B123" s="1"/>
      <c r="C123" s="54"/>
    </row>
    <row r="124" spans="2:3" x14ac:dyDescent="0.3">
      <c r="B124" s="1"/>
      <c r="C124" s="54"/>
    </row>
    <row r="125" spans="2:3" x14ac:dyDescent="0.3">
      <c r="B125" s="1"/>
      <c r="C125" s="54"/>
    </row>
    <row r="126" spans="2:3" x14ac:dyDescent="0.3">
      <c r="B126" s="1"/>
      <c r="C126" s="54"/>
    </row>
    <row r="127" spans="2:3" x14ac:dyDescent="0.3">
      <c r="B127" s="1"/>
      <c r="C127" s="54"/>
    </row>
    <row r="128" spans="2:3" x14ac:dyDescent="0.3">
      <c r="B128" s="1"/>
      <c r="C128" s="54"/>
    </row>
    <row r="129" spans="2:3" x14ac:dyDescent="0.3">
      <c r="B129" s="1"/>
      <c r="C129" s="54"/>
    </row>
    <row r="130" spans="2:3" x14ac:dyDescent="0.3">
      <c r="B130" s="1"/>
      <c r="C130" s="54"/>
    </row>
    <row r="131" spans="2:3" x14ac:dyDescent="0.3">
      <c r="B131" s="1"/>
      <c r="C131" s="54">
        <f>1969*10.764</f>
        <v>21194.315999999999</v>
      </c>
    </row>
    <row r="132" spans="2:3" x14ac:dyDescent="0.3">
      <c r="B132" s="1"/>
      <c r="C132" s="54"/>
    </row>
    <row r="133" spans="2:3" x14ac:dyDescent="0.3">
      <c r="B133" s="1"/>
      <c r="C133" s="54"/>
    </row>
    <row r="134" spans="2:3" x14ac:dyDescent="0.3">
      <c r="B134" s="1"/>
      <c r="C134" s="54"/>
    </row>
    <row r="135" spans="2:3" x14ac:dyDescent="0.3">
      <c r="B135" s="1"/>
      <c r="C135" s="54"/>
    </row>
    <row r="136" spans="2:3" x14ac:dyDescent="0.3">
      <c r="B136" s="1"/>
      <c r="C136" s="54"/>
    </row>
    <row r="137" spans="2:3" x14ac:dyDescent="0.3">
      <c r="B137" s="1"/>
      <c r="C137" s="54"/>
    </row>
    <row r="138" spans="2:3" x14ac:dyDescent="0.3">
      <c r="B138" s="1"/>
      <c r="C138" s="54"/>
    </row>
    <row r="139" spans="2:3" x14ac:dyDescent="0.3">
      <c r="B139" s="1"/>
      <c r="C139" s="54"/>
    </row>
    <row r="140" spans="2:3" x14ac:dyDescent="0.3">
      <c r="B140" s="1"/>
      <c r="C140" s="54"/>
    </row>
    <row r="141" spans="2:3" x14ac:dyDescent="0.3">
      <c r="B141" s="1"/>
      <c r="C141" s="54"/>
    </row>
    <row r="142" spans="2:3" x14ac:dyDescent="0.3">
      <c r="B142" s="1"/>
      <c r="C142" s="54"/>
    </row>
    <row r="143" spans="2:3" x14ac:dyDescent="0.3">
      <c r="B143" s="1"/>
      <c r="C143" s="54"/>
    </row>
    <row r="144" spans="2:3" x14ac:dyDescent="0.3">
      <c r="B144" s="1"/>
      <c r="C144" s="54"/>
    </row>
    <row r="145" spans="2:3" x14ac:dyDescent="0.3">
      <c r="B145" s="1"/>
      <c r="C145" s="54"/>
    </row>
    <row r="146" spans="2:3" x14ac:dyDescent="0.3">
      <c r="B146" s="1"/>
      <c r="C146" s="54"/>
    </row>
    <row r="147" spans="2:3" x14ac:dyDescent="0.3">
      <c r="B147" s="1"/>
      <c r="C147" s="54"/>
    </row>
    <row r="148" spans="2:3" x14ac:dyDescent="0.3">
      <c r="B148" s="1"/>
      <c r="C148" s="54"/>
    </row>
    <row r="149" spans="2:3" x14ac:dyDescent="0.3">
      <c r="B149" s="1"/>
      <c r="C149" s="54"/>
    </row>
    <row r="150" spans="2:3" x14ac:dyDescent="0.3">
      <c r="B150" s="1"/>
      <c r="C150" s="54"/>
    </row>
    <row r="151" spans="2:3" x14ac:dyDescent="0.3">
      <c r="B151" s="1"/>
      <c r="C151" s="54"/>
    </row>
    <row r="152" spans="2:3" x14ac:dyDescent="0.3">
      <c r="B152" s="1"/>
      <c r="C152" s="54"/>
    </row>
    <row r="153" spans="2:3" x14ac:dyDescent="0.3">
      <c r="B153" s="1"/>
      <c r="C153" s="54"/>
    </row>
    <row r="154" spans="2:3" x14ac:dyDescent="0.3">
      <c r="B154" s="1"/>
      <c r="C154" s="54"/>
    </row>
    <row r="155" spans="2:3" x14ac:dyDescent="0.3">
      <c r="B155" s="1"/>
      <c r="C155" s="54"/>
    </row>
    <row r="156" spans="2:3" x14ac:dyDescent="0.3">
      <c r="B156" s="1"/>
      <c r="C156" s="54"/>
    </row>
    <row r="157" spans="2:3" x14ac:dyDescent="0.3">
      <c r="B157" s="1"/>
      <c r="C157" s="54"/>
    </row>
    <row r="158" spans="2:3" x14ac:dyDescent="0.3">
      <c r="B158" s="1"/>
      <c r="C158" s="54"/>
    </row>
    <row r="159" spans="2:3" x14ac:dyDescent="0.3">
      <c r="B159" s="1"/>
      <c r="C159" s="54"/>
    </row>
    <row r="160" spans="2:3" x14ac:dyDescent="0.3">
      <c r="B160" s="1"/>
      <c r="C160" s="54"/>
    </row>
    <row r="161" spans="2:3" x14ac:dyDescent="0.3">
      <c r="B161" s="1"/>
      <c r="C161" s="54"/>
    </row>
    <row r="162" spans="2:3" x14ac:dyDescent="0.3">
      <c r="B162" s="1"/>
      <c r="C162" s="54"/>
    </row>
    <row r="163" spans="2:3" x14ac:dyDescent="0.3">
      <c r="B163" s="1"/>
      <c r="C163" s="54"/>
    </row>
    <row r="164" spans="2:3" x14ac:dyDescent="0.3">
      <c r="B164" s="1"/>
      <c r="C164" s="54"/>
    </row>
    <row r="165" spans="2:3" x14ac:dyDescent="0.3">
      <c r="B165" s="1"/>
      <c r="C165" s="54"/>
    </row>
    <row r="166" spans="2:3" x14ac:dyDescent="0.3">
      <c r="B166" s="1"/>
      <c r="C166" s="54"/>
    </row>
    <row r="167" spans="2:3" x14ac:dyDescent="0.3">
      <c r="B167" s="1"/>
      <c r="C167" s="54"/>
    </row>
    <row r="168" spans="2:3" x14ac:dyDescent="0.3">
      <c r="B168" s="1"/>
      <c r="C168" s="54"/>
    </row>
    <row r="169" spans="2:3" x14ac:dyDescent="0.3">
      <c r="B169" s="1"/>
      <c r="C169" s="54"/>
    </row>
    <row r="170" spans="2:3" x14ac:dyDescent="0.3">
      <c r="B170" s="1"/>
      <c r="C170" s="54"/>
    </row>
    <row r="171" spans="2:3" x14ac:dyDescent="0.3">
      <c r="B171" s="1"/>
      <c r="C171" s="54"/>
    </row>
    <row r="172" spans="2:3" x14ac:dyDescent="0.3">
      <c r="B172" s="1"/>
      <c r="C172" s="54"/>
    </row>
    <row r="173" spans="2:3" x14ac:dyDescent="0.3">
      <c r="B173" s="1"/>
      <c r="C173" s="54"/>
    </row>
    <row r="174" spans="2:3" x14ac:dyDescent="0.3">
      <c r="B174" s="1"/>
      <c r="C174" s="54"/>
    </row>
    <row r="175" spans="2:3" x14ac:dyDescent="0.3">
      <c r="B175" s="1"/>
      <c r="C175" s="54"/>
    </row>
    <row r="176" spans="2:3" x14ac:dyDescent="0.3">
      <c r="B176" s="1"/>
      <c r="C176" s="54"/>
    </row>
    <row r="177" spans="2:3" x14ac:dyDescent="0.3">
      <c r="B177" s="1"/>
      <c r="C177" s="54"/>
    </row>
    <row r="178" spans="2:3" x14ac:dyDescent="0.3">
      <c r="B178" s="1"/>
      <c r="C178" s="54"/>
    </row>
    <row r="179" spans="2:3" x14ac:dyDescent="0.3">
      <c r="B179" s="1"/>
      <c r="C179" s="54"/>
    </row>
    <row r="180" spans="2:3" x14ac:dyDescent="0.3">
      <c r="B180" s="1"/>
      <c r="C180" s="54"/>
    </row>
    <row r="181" spans="2:3" x14ac:dyDescent="0.3">
      <c r="B181" s="1"/>
      <c r="C181" s="54"/>
    </row>
    <row r="182" spans="2:3" x14ac:dyDescent="0.3">
      <c r="B182" s="1"/>
      <c r="C182" s="54"/>
    </row>
    <row r="183" spans="2:3" x14ac:dyDescent="0.3">
      <c r="B183" s="1"/>
      <c r="C183" s="54"/>
    </row>
    <row r="184" spans="2:3" x14ac:dyDescent="0.3">
      <c r="B184" s="1"/>
      <c r="C184" s="54"/>
    </row>
    <row r="185" spans="2:3" x14ac:dyDescent="0.3">
      <c r="B185" s="1"/>
      <c r="C185" s="54"/>
    </row>
    <row r="186" spans="2:3" x14ac:dyDescent="0.3">
      <c r="B186" s="1"/>
      <c r="C186" s="54"/>
    </row>
    <row r="187" spans="2:3" x14ac:dyDescent="0.3">
      <c r="B187" s="1"/>
      <c r="C187" s="54"/>
    </row>
    <row r="188" spans="2:3" x14ac:dyDescent="0.3">
      <c r="B188" s="1"/>
      <c r="C188" s="54"/>
    </row>
  </sheetData>
  <mergeCells count="7">
    <mergeCell ref="B33:C33"/>
    <mergeCell ref="B38:C38"/>
    <mergeCell ref="B43:C43"/>
    <mergeCell ref="B3:G3"/>
    <mergeCell ref="B13:C13"/>
    <mergeCell ref="B4:J4"/>
    <mergeCell ref="J41:K41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E8F5E-C88B-432E-95F1-BA196D930346}">
  <dimension ref="A1:S174"/>
  <sheetViews>
    <sheetView topLeftCell="A19" workbookViewId="0">
      <selection activeCell="D45" sqref="D45"/>
    </sheetView>
  </sheetViews>
  <sheetFormatPr defaultRowHeight="16.5" x14ac:dyDescent="0.3"/>
  <cols>
    <col min="1" max="1" width="9.140625" style="16"/>
    <col min="2" max="2" width="28.7109375" style="127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4" bestFit="1" customWidth="1"/>
    <col min="8" max="8" width="15.28515625" style="4" bestFit="1" customWidth="1"/>
    <col min="9" max="9" width="15.28515625" style="4" customWidth="1"/>
    <col min="10" max="10" width="13.85546875" style="1" bestFit="1" customWidth="1"/>
    <col min="11" max="11" width="15.42578125" style="4" bestFit="1" customWidth="1"/>
    <col min="12" max="12" width="14.140625" style="1" customWidth="1"/>
    <col min="13" max="13" width="13.28515625" style="4" bestFit="1" customWidth="1"/>
    <col min="14" max="14" width="14.85546875" style="4" customWidth="1"/>
    <col min="15" max="15" width="14.85546875" style="4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6" t="s">
        <v>10</v>
      </c>
      <c r="E1" s="1" t="s">
        <v>65</v>
      </c>
      <c r="F1" s="4" t="s">
        <v>66</v>
      </c>
      <c r="H1" s="4" t="s">
        <v>67</v>
      </c>
      <c r="K1" s="4" t="s">
        <v>68</v>
      </c>
      <c r="O1" s="4" t="s">
        <v>69</v>
      </c>
      <c r="R1" s="4" t="s">
        <v>69</v>
      </c>
    </row>
    <row r="2" spans="1:19" x14ac:dyDescent="0.3">
      <c r="B2" s="12" t="s">
        <v>117</v>
      </c>
      <c r="C2" s="96">
        <v>31560</v>
      </c>
      <c r="D2" s="4" t="s">
        <v>65</v>
      </c>
      <c r="E2" s="40">
        <v>0</v>
      </c>
      <c r="F2" s="40">
        <f>MROUND(E2*10.764,1)</f>
        <v>0</v>
      </c>
      <c r="G2" s="97"/>
      <c r="H2" s="1" t="s">
        <v>65</v>
      </c>
      <c r="I2" s="96">
        <v>0</v>
      </c>
      <c r="J2" s="96">
        <f>C2</f>
        <v>31560</v>
      </c>
      <c r="K2" s="96">
        <v>2530</v>
      </c>
      <c r="L2" s="171">
        <f>J2*K2</f>
        <v>79846800</v>
      </c>
      <c r="O2" s="25" t="s">
        <v>70</v>
      </c>
      <c r="P2" s="99">
        <f>C36</f>
        <v>171376150</v>
      </c>
      <c r="R2" s="10">
        <f>P2*0.025/12</f>
        <v>357033.64583333331</v>
      </c>
      <c r="S2" s="8" t="s">
        <v>71</v>
      </c>
    </row>
    <row r="3" spans="1:19" x14ac:dyDescent="0.3">
      <c r="B3" s="13" t="s">
        <v>4</v>
      </c>
      <c r="C3" s="8">
        <v>4000</v>
      </c>
      <c r="D3" s="100"/>
      <c r="E3" s="37"/>
      <c r="F3" s="37"/>
      <c r="G3" s="100"/>
      <c r="H3" s="1" t="s">
        <v>66</v>
      </c>
      <c r="I3" s="96">
        <f>MROUND(I2/10.764,1)</f>
        <v>0</v>
      </c>
      <c r="J3" s="96">
        <v>3900</v>
      </c>
      <c r="K3" s="98">
        <v>278.26</v>
      </c>
      <c r="L3" s="172">
        <f>J3*K3</f>
        <v>1085214</v>
      </c>
      <c r="O3" s="25" t="s">
        <v>70</v>
      </c>
      <c r="P3" s="99">
        <f>C36</f>
        <v>171376150</v>
      </c>
      <c r="Q3" s="4"/>
      <c r="R3" s="10">
        <f>P3*0.04/12</f>
        <v>571253.83333333337</v>
      </c>
      <c r="S3" s="101" t="s">
        <v>72</v>
      </c>
    </row>
    <row r="4" spans="1:19" x14ac:dyDescent="0.3">
      <c r="B4" s="102" t="s">
        <v>15</v>
      </c>
      <c r="C4" s="98">
        <f>ROUND((C2*C3),0)</f>
        <v>126240000</v>
      </c>
      <c r="F4" s="17"/>
      <c r="G4" s="17"/>
      <c r="I4" s="98"/>
      <c r="J4" s="96"/>
      <c r="K4" s="98"/>
      <c r="L4" s="171">
        <f>N19</f>
        <v>31486150</v>
      </c>
      <c r="O4" s="25" t="s">
        <v>70</v>
      </c>
      <c r="P4" s="99">
        <f>C36</f>
        <v>171376150</v>
      </c>
      <c r="Q4" s="4"/>
      <c r="R4" s="10">
        <f>P4*0.033/12</f>
        <v>471284.41250000003</v>
      </c>
      <c r="S4" s="8" t="s">
        <v>73</v>
      </c>
    </row>
    <row r="5" spans="1:19" x14ac:dyDescent="0.3">
      <c r="B5" s="102"/>
      <c r="C5" s="98"/>
      <c r="F5" s="17"/>
      <c r="G5" s="17"/>
      <c r="I5" s="98"/>
      <c r="J5" s="96"/>
      <c r="K5" s="98"/>
      <c r="L5" s="173">
        <f>SUM(L2:L4)</f>
        <v>112418164</v>
      </c>
      <c r="O5" s="25"/>
      <c r="P5" s="99"/>
      <c r="Q5" s="4"/>
      <c r="R5" s="10"/>
      <c r="S5" s="8"/>
    </row>
    <row r="6" spans="1:19" x14ac:dyDescent="0.3">
      <c r="B6" s="6" t="s">
        <v>10</v>
      </c>
      <c r="F6" s="17"/>
      <c r="G6" s="17"/>
      <c r="I6" s="98"/>
      <c r="J6" s="96"/>
      <c r="K6" s="98"/>
      <c r="L6" s="98"/>
      <c r="O6" s="25"/>
      <c r="P6" s="99"/>
      <c r="Q6" s="4"/>
      <c r="R6" s="10"/>
      <c r="S6" s="8"/>
    </row>
    <row r="7" spans="1:19" x14ac:dyDescent="0.3">
      <c r="B7" s="12" t="s">
        <v>118</v>
      </c>
      <c r="C7" s="96">
        <v>3900</v>
      </c>
      <c r="D7" s="4" t="s">
        <v>65</v>
      </c>
      <c r="F7" s="17">
        <f>3900/10000</f>
        <v>0.39</v>
      </c>
      <c r="G7" s="17"/>
      <c r="I7" s="98"/>
      <c r="J7" s="96"/>
      <c r="K7" s="98"/>
      <c r="L7" s="98"/>
      <c r="O7" s="25"/>
      <c r="P7" s="99"/>
      <c r="Q7" s="4"/>
      <c r="R7" s="10"/>
      <c r="S7" s="8"/>
    </row>
    <row r="8" spans="1:19" x14ac:dyDescent="0.3">
      <c r="B8" s="13" t="s">
        <v>4</v>
      </c>
      <c r="C8" s="8">
        <v>3500</v>
      </c>
      <c r="D8" s="100"/>
      <c r="F8" s="17"/>
      <c r="G8" s="17"/>
      <c r="I8" s="98"/>
      <c r="J8" s="96"/>
      <c r="K8" s="98"/>
      <c r="L8" s="98"/>
      <c r="O8" s="25"/>
      <c r="P8" s="99"/>
      <c r="Q8" s="4"/>
      <c r="R8" s="10"/>
      <c r="S8" s="8"/>
    </row>
    <row r="9" spans="1:19" x14ac:dyDescent="0.3">
      <c r="B9" s="102" t="s">
        <v>15</v>
      </c>
      <c r="C9" s="98">
        <f>ROUND((C7*C8),0)</f>
        <v>13650000</v>
      </c>
      <c r="F9" s="17"/>
      <c r="G9" s="17"/>
      <c r="I9" s="98"/>
      <c r="J9" s="96"/>
      <c r="K9" s="98"/>
      <c r="L9" s="98"/>
      <c r="O9" s="25"/>
      <c r="P9" s="99"/>
      <c r="Q9" s="4"/>
      <c r="R9" s="10"/>
      <c r="S9" s="8"/>
    </row>
    <row r="10" spans="1:19" x14ac:dyDescent="0.3">
      <c r="B10" s="6" t="s">
        <v>11</v>
      </c>
    </row>
    <row r="11" spans="1:19" s="2" customFormat="1" ht="57" x14ac:dyDescent="0.2">
      <c r="A11" s="103" t="s">
        <v>74</v>
      </c>
      <c r="B11" s="104" t="s">
        <v>75</v>
      </c>
      <c r="C11" s="104" t="s">
        <v>32</v>
      </c>
      <c r="D11" s="104" t="s">
        <v>76</v>
      </c>
      <c r="E11" s="104" t="s">
        <v>0</v>
      </c>
      <c r="F11" s="104" t="s">
        <v>1</v>
      </c>
      <c r="G11" s="104" t="s">
        <v>64</v>
      </c>
      <c r="H11" s="105" t="s">
        <v>77</v>
      </c>
      <c r="I11" s="105" t="s">
        <v>18</v>
      </c>
      <c r="J11" s="106" t="s">
        <v>2</v>
      </c>
      <c r="K11" s="106" t="s">
        <v>3</v>
      </c>
      <c r="L11" s="105" t="s">
        <v>78</v>
      </c>
      <c r="M11" s="107" t="s">
        <v>19</v>
      </c>
      <c r="N11" s="107" t="s">
        <v>79</v>
      </c>
      <c r="O11" s="107" t="s">
        <v>80</v>
      </c>
    </row>
    <row r="12" spans="1:19" s="2" customFormat="1" ht="14.25" x14ac:dyDescent="0.2">
      <c r="A12" s="103"/>
      <c r="B12" s="104"/>
      <c r="C12" s="105" t="s">
        <v>88</v>
      </c>
      <c r="D12" s="104"/>
      <c r="E12" s="104"/>
      <c r="F12" s="104"/>
      <c r="G12" s="108" t="s">
        <v>81</v>
      </c>
      <c r="H12" s="109" t="s">
        <v>82</v>
      </c>
      <c r="I12" s="109" t="s">
        <v>82</v>
      </c>
      <c r="J12" s="106"/>
      <c r="K12" s="106"/>
      <c r="L12" s="106" t="s">
        <v>83</v>
      </c>
      <c r="M12" s="106" t="s">
        <v>83</v>
      </c>
      <c r="N12" s="106" t="s">
        <v>83</v>
      </c>
      <c r="O12" s="106" t="s">
        <v>83</v>
      </c>
    </row>
    <row r="13" spans="1:19" s="23" customFormat="1" ht="27" x14ac:dyDescent="0.25">
      <c r="A13" s="110">
        <v>1</v>
      </c>
      <c r="B13" s="111" t="s">
        <v>87</v>
      </c>
      <c r="C13" s="132">
        <v>3264.2890000000002</v>
      </c>
      <c r="D13" s="112">
        <v>2010</v>
      </c>
      <c r="E13" s="112">
        <v>2024</v>
      </c>
      <c r="F13" s="112">
        <v>50</v>
      </c>
      <c r="G13" s="113">
        <v>12000</v>
      </c>
      <c r="H13" s="114">
        <f t="shared" ref="H13:H18" si="0">E13-D13</f>
        <v>14</v>
      </c>
      <c r="I13" s="114">
        <f t="shared" ref="I13:I18" si="1">F13-H13</f>
        <v>36</v>
      </c>
      <c r="J13" s="114">
        <f t="shared" ref="J13:J18" si="2">IF(H13&gt;=5,90*H13/F13,0)</f>
        <v>25.2</v>
      </c>
      <c r="K13" s="114">
        <f t="shared" ref="K13:K18" si="3">G13/100*J13</f>
        <v>3024</v>
      </c>
      <c r="L13" s="114">
        <f t="shared" ref="L13:L18" si="4">ROUND((G13-K13),0)</f>
        <v>8976</v>
      </c>
      <c r="M13" s="114">
        <f t="shared" ref="M13:M18" si="5">O13-N13</f>
        <v>9871210</v>
      </c>
      <c r="N13" s="114">
        <f t="shared" ref="N13:N18" si="6">ROUND((L13*C13),0)</f>
        <v>29300258</v>
      </c>
      <c r="O13" s="114">
        <f t="shared" ref="O13:O18" si="7">ROUND((C13*G13),0)</f>
        <v>39171468</v>
      </c>
    </row>
    <row r="14" spans="1:19" s="23" customFormat="1" x14ac:dyDescent="0.25">
      <c r="A14" s="110">
        <v>2</v>
      </c>
      <c r="B14" s="111" t="s">
        <v>89</v>
      </c>
      <c r="C14" s="132">
        <v>62.890999999999998</v>
      </c>
      <c r="D14" s="112">
        <v>2010</v>
      </c>
      <c r="E14" s="112">
        <v>2024</v>
      </c>
      <c r="F14" s="112">
        <v>50</v>
      </c>
      <c r="G14" s="113">
        <v>8000</v>
      </c>
      <c r="H14" s="114">
        <f t="shared" si="0"/>
        <v>14</v>
      </c>
      <c r="I14" s="114">
        <f t="shared" si="1"/>
        <v>36</v>
      </c>
      <c r="J14" s="114">
        <f t="shared" si="2"/>
        <v>25.2</v>
      </c>
      <c r="K14" s="114">
        <f t="shared" si="3"/>
        <v>2016</v>
      </c>
      <c r="L14" s="114">
        <f t="shared" si="4"/>
        <v>5984</v>
      </c>
      <c r="M14" s="114">
        <f t="shared" si="5"/>
        <v>126788</v>
      </c>
      <c r="N14" s="114">
        <f t="shared" si="6"/>
        <v>376340</v>
      </c>
      <c r="O14" s="114">
        <f t="shared" si="7"/>
        <v>503128</v>
      </c>
    </row>
    <row r="15" spans="1:19" s="23" customFormat="1" ht="17.25" customHeight="1" x14ac:dyDescent="0.25">
      <c r="A15" s="110">
        <v>3</v>
      </c>
      <c r="B15" s="111" t="s">
        <v>90</v>
      </c>
      <c r="C15" s="132">
        <v>105.645</v>
      </c>
      <c r="D15" s="112">
        <v>2010</v>
      </c>
      <c r="E15" s="112">
        <v>2024</v>
      </c>
      <c r="F15" s="112">
        <v>60</v>
      </c>
      <c r="G15" s="113">
        <v>9000</v>
      </c>
      <c r="H15" s="114">
        <f t="shared" si="0"/>
        <v>14</v>
      </c>
      <c r="I15" s="114">
        <f t="shared" si="1"/>
        <v>46</v>
      </c>
      <c r="J15" s="114">
        <f t="shared" si="2"/>
        <v>21</v>
      </c>
      <c r="K15" s="114">
        <f t="shared" si="3"/>
        <v>1890</v>
      </c>
      <c r="L15" s="114">
        <f t="shared" si="4"/>
        <v>7110</v>
      </c>
      <c r="M15" s="114">
        <f t="shared" si="5"/>
        <v>199669</v>
      </c>
      <c r="N15" s="114">
        <f t="shared" si="6"/>
        <v>751136</v>
      </c>
      <c r="O15" s="114">
        <f t="shared" si="7"/>
        <v>950805</v>
      </c>
    </row>
    <row r="16" spans="1:19" s="23" customFormat="1" x14ac:dyDescent="0.25">
      <c r="A16" s="110">
        <v>4</v>
      </c>
      <c r="B16" s="111" t="s">
        <v>91</v>
      </c>
      <c r="C16" s="132">
        <v>50.274999999999999</v>
      </c>
      <c r="D16" s="112">
        <v>2010</v>
      </c>
      <c r="E16" s="112">
        <v>2024</v>
      </c>
      <c r="F16" s="112">
        <v>60</v>
      </c>
      <c r="G16" s="113">
        <v>9000</v>
      </c>
      <c r="H16" s="114">
        <f t="shared" si="0"/>
        <v>14</v>
      </c>
      <c r="I16" s="114">
        <f t="shared" si="1"/>
        <v>46</v>
      </c>
      <c r="J16" s="114">
        <f t="shared" si="2"/>
        <v>21</v>
      </c>
      <c r="K16" s="114">
        <f t="shared" si="3"/>
        <v>1890</v>
      </c>
      <c r="L16" s="114">
        <f t="shared" si="4"/>
        <v>7110</v>
      </c>
      <c r="M16" s="114">
        <f t="shared" si="5"/>
        <v>95020</v>
      </c>
      <c r="N16" s="114">
        <f t="shared" si="6"/>
        <v>357455</v>
      </c>
      <c r="O16" s="114">
        <f t="shared" si="7"/>
        <v>452475</v>
      </c>
    </row>
    <row r="17" spans="1:15" s="23" customFormat="1" x14ac:dyDescent="0.25">
      <c r="A17" s="110">
        <v>5</v>
      </c>
      <c r="B17" s="111" t="s">
        <v>92</v>
      </c>
      <c r="C17" s="132">
        <v>67.132000000000005</v>
      </c>
      <c r="D17" s="112">
        <v>2010</v>
      </c>
      <c r="E17" s="112">
        <v>2024</v>
      </c>
      <c r="F17" s="112">
        <v>60</v>
      </c>
      <c r="G17" s="113">
        <v>9000</v>
      </c>
      <c r="H17" s="114">
        <f t="shared" si="0"/>
        <v>14</v>
      </c>
      <c r="I17" s="114">
        <f t="shared" si="1"/>
        <v>46</v>
      </c>
      <c r="J17" s="114">
        <f t="shared" si="2"/>
        <v>21</v>
      </c>
      <c r="K17" s="114">
        <f t="shared" si="3"/>
        <v>1890</v>
      </c>
      <c r="L17" s="114">
        <f t="shared" si="4"/>
        <v>7110</v>
      </c>
      <c r="M17" s="114">
        <f t="shared" si="5"/>
        <v>126879</v>
      </c>
      <c r="N17" s="114">
        <f t="shared" si="6"/>
        <v>477309</v>
      </c>
      <c r="O17" s="114">
        <f t="shared" si="7"/>
        <v>604188</v>
      </c>
    </row>
    <row r="18" spans="1:15" x14ac:dyDescent="0.3">
      <c r="A18" s="115">
        <v>6</v>
      </c>
      <c r="B18" s="111" t="s">
        <v>93</v>
      </c>
      <c r="C18" s="132">
        <v>31.456</v>
      </c>
      <c r="D18" s="112">
        <v>2010</v>
      </c>
      <c r="E18" s="112">
        <v>2024</v>
      </c>
      <c r="F18" s="112">
        <v>60</v>
      </c>
      <c r="G18" s="113">
        <v>9000</v>
      </c>
      <c r="H18" s="114">
        <f t="shared" si="0"/>
        <v>14</v>
      </c>
      <c r="I18" s="114">
        <f t="shared" si="1"/>
        <v>46</v>
      </c>
      <c r="J18" s="114">
        <f t="shared" si="2"/>
        <v>21</v>
      </c>
      <c r="K18" s="114">
        <f t="shared" si="3"/>
        <v>1890</v>
      </c>
      <c r="L18" s="114">
        <f t="shared" si="4"/>
        <v>7110</v>
      </c>
      <c r="M18" s="116">
        <f t="shared" si="5"/>
        <v>59452</v>
      </c>
      <c r="N18" s="114">
        <f t="shared" si="6"/>
        <v>223652</v>
      </c>
      <c r="O18" s="114">
        <f t="shared" si="7"/>
        <v>283104</v>
      </c>
    </row>
    <row r="19" spans="1:15" x14ac:dyDescent="0.3">
      <c r="A19" s="115"/>
      <c r="B19" s="117" t="s">
        <v>45</v>
      </c>
      <c r="C19" s="133">
        <f>SUM(C13:C18)</f>
        <v>3581.6880000000006</v>
      </c>
      <c r="D19" s="118"/>
      <c r="E19" s="118"/>
      <c r="F19" s="119"/>
      <c r="G19" s="114"/>
      <c r="H19" s="114"/>
      <c r="I19" s="114"/>
      <c r="J19" s="120"/>
      <c r="K19" s="114"/>
      <c r="L19" s="120"/>
      <c r="M19" s="114">
        <f>SUM(M13:M18)</f>
        <v>10479018</v>
      </c>
      <c r="N19" s="114">
        <f>SUM(N13:N18)</f>
        <v>31486150</v>
      </c>
      <c r="O19" s="114">
        <f>SUM(O13:O18)</f>
        <v>41965168</v>
      </c>
    </row>
    <row r="20" spans="1:15" x14ac:dyDescent="0.3">
      <c r="B20" s="26"/>
      <c r="C20" s="23"/>
      <c r="D20" s="23"/>
      <c r="E20" s="23"/>
      <c r="F20" s="27"/>
      <c r="G20" s="27"/>
      <c r="H20" s="27"/>
      <c r="I20" s="27"/>
      <c r="J20" s="23"/>
      <c r="K20" s="73"/>
      <c r="L20" s="121"/>
      <c r="M20" s="27"/>
      <c r="N20" s="28"/>
      <c r="O20" s="28"/>
    </row>
    <row r="21" spans="1:15" x14ac:dyDescent="0.3">
      <c r="B21" s="162" t="s">
        <v>21</v>
      </c>
      <c r="C21" s="162"/>
      <c r="D21" s="23"/>
      <c r="E21" s="23"/>
      <c r="F21" s="27"/>
      <c r="G21" s="27"/>
      <c r="H21" s="27"/>
      <c r="I21" s="27"/>
      <c r="J21" s="23"/>
      <c r="K21" s="73"/>
      <c r="L21" s="121"/>
      <c r="M21" s="27"/>
      <c r="N21" s="28"/>
      <c r="O21" s="28"/>
    </row>
    <row r="22" spans="1:15" x14ac:dyDescent="0.3">
      <c r="B22" s="12" t="s">
        <v>22</v>
      </c>
      <c r="C22" s="122">
        <v>0</v>
      </c>
      <c r="D22" s="23"/>
      <c r="E22" s="23"/>
      <c r="F22" s="27"/>
      <c r="G22" s="27"/>
      <c r="H22" s="27"/>
      <c r="I22" s="27"/>
      <c r="J22" s="23"/>
      <c r="K22" s="73"/>
      <c r="L22" s="121"/>
      <c r="M22" s="27"/>
      <c r="N22" s="28"/>
      <c r="O22" s="28"/>
    </row>
    <row r="23" spans="1:15" x14ac:dyDescent="0.3">
      <c r="B23" s="13" t="s">
        <v>4</v>
      </c>
      <c r="C23" s="123">
        <v>0</v>
      </c>
      <c r="D23" s="23"/>
      <c r="E23" s="23"/>
      <c r="F23" s="27"/>
      <c r="G23" s="27"/>
      <c r="H23" s="27"/>
      <c r="I23" s="27"/>
      <c r="J23" s="23"/>
      <c r="K23" s="73"/>
      <c r="L23" s="121"/>
      <c r="M23" s="27"/>
      <c r="N23" s="28"/>
      <c r="O23" s="28"/>
    </row>
    <row r="24" spans="1:15" x14ac:dyDescent="0.3">
      <c r="B24" s="13" t="s">
        <v>5</v>
      </c>
      <c r="C24" s="124">
        <f>ROUND((C22*C23),0)</f>
        <v>0</v>
      </c>
      <c r="D24" s="23"/>
      <c r="E24" s="23"/>
      <c r="F24" s="27"/>
      <c r="G24" s="27"/>
      <c r="H24" s="27"/>
      <c r="I24" s="27"/>
      <c r="J24" s="23"/>
      <c r="K24" s="73"/>
      <c r="L24" s="121"/>
      <c r="M24" s="27"/>
      <c r="N24" s="28"/>
      <c r="O24" s="28"/>
    </row>
    <row r="25" spans="1:15" x14ac:dyDescent="0.3">
      <c r="B25" s="26"/>
      <c r="C25" s="23"/>
      <c r="D25" s="23"/>
      <c r="E25" s="23"/>
      <c r="F25" s="27"/>
      <c r="G25" s="27"/>
      <c r="H25" s="27"/>
      <c r="I25" s="27"/>
      <c r="J25" s="23"/>
      <c r="K25" s="73"/>
      <c r="L25" s="121"/>
      <c r="M25" s="27"/>
      <c r="N25" s="28"/>
      <c r="O25" s="28"/>
    </row>
    <row r="26" spans="1:15" ht="22.5" customHeight="1" x14ac:dyDescent="0.3">
      <c r="B26" s="163" t="s">
        <v>12</v>
      </c>
      <c r="C26" s="164"/>
      <c r="D26" s="23"/>
      <c r="E26" s="23"/>
      <c r="F26" s="27"/>
      <c r="G26" s="27"/>
      <c r="H26" s="27"/>
      <c r="I26" s="27"/>
      <c r="J26" s="23"/>
      <c r="K26" s="27"/>
      <c r="L26" s="23"/>
      <c r="M26" s="27"/>
      <c r="N26" s="27"/>
      <c r="O26" s="27"/>
    </row>
    <row r="27" spans="1:15" x14ac:dyDescent="0.3">
      <c r="B27" s="12" t="s">
        <v>8</v>
      </c>
      <c r="C27" s="122">
        <v>0</v>
      </c>
      <c r="E27" s="29"/>
      <c r="F27" s="29"/>
      <c r="G27" s="125"/>
      <c r="H27" s="7"/>
      <c r="I27" s="7"/>
      <c r="L27" s="11"/>
      <c r="O27" s="4">
        <v>22</v>
      </c>
    </row>
    <row r="28" spans="1:15" x14ac:dyDescent="0.3">
      <c r="B28" s="13" t="s">
        <v>4</v>
      </c>
      <c r="C28" s="123">
        <v>0</v>
      </c>
      <c r="D28" s="126"/>
      <c r="E28" s="17"/>
      <c r="F28" s="17"/>
      <c r="G28" s="73"/>
      <c r="H28" s="7"/>
      <c r="I28" s="7"/>
      <c r="L28" s="11"/>
      <c r="O28" s="4">
        <v>17</v>
      </c>
    </row>
    <row r="29" spans="1:15" x14ac:dyDescent="0.3">
      <c r="B29" s="13" t="s">
        <v>5</v>
      </c>
      <c r="C29" s="124">
        <f>ROUND((C27*C28),0)</f>
        <v>0</v>
      </c>
      <c r="D29" s="5"/>
      <c r="E29" s="5"/>
      <c r="F29" s="11"/>
      <c r="H29" s="7"/>
      <c r="I29" s="7"/>
      <c r="L29" s="11"/>
      <c r="O29" s="4">
        <v>16</v>
      </c>
    </row>
    <row r="30" spans="1:15" x14ac:dyDescent="0.3">
      <c r="B30" s="16"/>
      <c r="C30" s="9"/>
      <c r="D30" s="5"/>
      <c r="E30" s="5"/>
      <c r="F30" s="11"/>
      <c r="H30" s="7"/>
      <c r="I30" s="7"/>
      <c r="L30" s="11"/>
    </row>
    <row r="31" spans="1:15" x14ac:dyDescent="0.3">
      <c r="C31" s="5" t="s">
        <v>84</v>
      </c>
      <c r="D31" s="5"/>
      <c r="E31" s="5"/>
      <c r="F31" s="11"/>
      <c r="H31" s="7"/>
      <c r="I31" s="7"/>
      <c r="L31" s="11"/>
    </row>
    <row r="32" spans="1:15" x14ac:dyDescent="0.3">
      <c r="B32" s="127" t="s">
        <v>10</v>
      </c>
      <c r="C32" s="128">
        <f>C4+C9</f>
        <v>139890000</v>
      </c>
      <c r="D32" s="9"/>
      <c r="E32" s="9"/>
      <c r="F32" s="9"/>
      <c r="G32" s="9"/>
      <c r="H32" s="10"/>
      <c r="I32" s="129">
        <v>11</v>
      </c>
      <c r="L32" s="8"/>
    </row>
    <row r="33" spans="1:18" x14ac:dyDescent="0.3">
      <c r="B33" s="127" t="s">
        <v>11</v>
      </c>
      <c r="C33" s="128">
        <f>N19</f>
        <v>31486150</v>
      </c>
      <c r="D33" s="9"/>
      <c r="E33" s="9"/>
      <c r="F33" s="9"/>
      <c r="G33" s="9"/>
      <c r="H33" s="10"/>
      <c r="I33" s="10"/>
      <c r="L33" s="10"/>
    </row>
    <row r="34" spans="1:18" x14ac:dyDescent="0.3">
      <c r="B34" s="127" t="s">
        <v>23</v>
      </c>
      <c r="C34" s="128">
        <f>C24</f>
        <v>0</v>
      </c>
      <c r="D34" s="9"/>
      <c r="E34" s="9"/>
      <c r="F34" s="9"/>
      <c r="G34" s="9"/>
      <c r="H34" s="10"/>
      <c r="I34" s="10"/>
      <c r="L34" s="10"/>
    </row>
    <row r="35" spans="1:18" ht="17.25" thickBot="1" x14ac:dyDescent="0.35">
      <c r="A35" s="1"/>
      <c r="B35" s="127" t="s">
        <v>9</v>
      </c>
      <c r="C35" s="128">
        <f>C29</f>
        <v>0</v>
      </c>
      <c r="D35" s="9"/>
      <c r="E35" s="9"/>
      <c r="F35" s="9"/>
      <c r="G35" s="9"/>
      <c r="H35" s="10"/>
      <c r="I35" s="10"/>
      <c r="L35" s="10"/>
    </row>
    <row r="36" spans="1:18" ht="32.25" customHeight="1" x14ac:dyDescent="0.3">
      <c r="A36" s="1"/>
      <c r="B36" s="6" t="s">
        <v>85</v>
      </c>
      <c r="C36" s="130">
        <f>C32+C33+C34+C35</f>
        <v>171376150</v>
      </c>
      <c r="D36" s="8"/>
      <c r="F36" s="8"/>
      <c r="O36" s="134" t="s">
        <v>94</v>
      </c>
      <c r="P36" s="165" t="s">
        <v>96</v>
      </c>
      <c r="Q36" s="167" t="s">
        <v>97</v>
      </c>
      <c r="R36" s="136" t="s">
        <v>98</v>
      </c>
    </row>
    <row r="37" spans="1:18" ht="17.25" thickBot="1" x14ac:dyDescent="0.35">
      <c r="A37" s="1"/>
      <c r="B37" s="6" t="s">
        <v>6</v>
      </c>
      <c r="C37" s="130">
        <f>MROUND(C36*90%,1)</f>
        <v>154238535</v>
      </c>
      <c r="D37" s="10">
        <v>143046000</v>
      </c>
      <c r="E37" s="1">
        <f>C37/D37</f>
        <v>1.0782443060274318</v>
      </c>
      <c r="F37" s="8"/>
      <c r="H37" s="15"/>
      <c r="I37" s="15"/>
      <c r="O37" s="135" t="s">
        <v>95</v>
      </c>
      <c r="P37" s="166"/>
      <c r="Q37" s="168"/>
      <c r="R37" s="137" t="s">
        <v>65</v>
      </c>
    </row>
    <row r="38" spans="1:18" ht="17.25" thickBot="1" x14ac:dyDescent="0.35">
      <c r="A38" s="1"/>
      <c r="B38" s="6" t="s">
        <v>7</v>
      </c>
      <c r="C38" s="130">
        <f>MROUND(C36*80%,1)</f>
        <v>137100920</v>
      </c>
      <c r="D38" s="10"/>
      <c r="F38" s="8"/>
      <c r="H38" s="15"/>
      <c r="I38" s="15"/>
      <c r="O38" s="138">
        <v>1</v>
      </c>
      <c r="P38" s="139" t="s">
        <v>38</v>
      </c>
      <c r="Q38" s="140">
        <v>8</v>
      </c>
      <c r="R38" s="140">
        <v>800</v>
      </c>
    </row>
    <row r="39" spans="1:18" s="23" customFormat="1" ht="17.25" thickBot="1" x14ac:dyDescent="0.35">
      <c r="B39" s="25" t="s">
        <v>86</v>
      </c>
      <c r="C39" s="131">
        <f>MROUND(C33*0.85,1)</f>
        <v>26763228</v>
      </c>
      <c r="D39" s="26"/>
      <c r="F39" s="27"/>
      <c r="G39" s="27"/>
      <c r="H39" s="27"/>
      <c r="I39" s="27"/>
      <c r="K39" s="27"/>
      <c r="M39" s="27"/>
      <c r="N39" s="27"/>
      <c r="O39" s="138">
        <v>2</v>
      </c>
      <c r="P39" s="141" t="s">
        <v>39</v>
      </c>
      <c r="Q39" s="140">
        <v>88.2</v>
      </c>
      <c r="R39" s="142">
        <v>0</v>
      </c>
    </row>
    <row r="40" spans="1:18" ht="17.25" thickBot="1" x14ac:dyDescent="0.35">
      <c r="A40" s="1"/>
      <c r="L40" s="33"/>
      <c r="O40" s="138">
        <v>3</v>
      </c>
      <c r="P40" s="141" t="s">
        <v>40</v>
      </c>
      <c r="Q40" s="140">
        <v>88</v>
      </c>
      <c r="R40" s="142">
        <v>8800</v>
      </c>
    </row>
    <row r="41" spans="1:18" ht="17.25" thickBot="1" x14ac:dyDescent="0.35">
      <c r="A41" s="1"/>
      <c r="L41" s="33"/>
      <c r="O41" s="138">
        <v>4</v>
      </c>
      <c r="P41" s="139" t="s">
        <v>99</v>
      </c>
      <c r="Q41" s="140">
        <v>158.80000000000001</v>
      </c>
      <c r="R41" s="142">
        <v>15880</v>
      </c>
    </row>
    <row r="42" spans="1:18" ht="17.25" thickBot="1" x14ac:dyDescent="0.35">
      <c r="A42" s="1"/>
      <c r="H42" s="15"/>
      <c r="I42" s="15"/>
      <c r="L42" s="33"/>
      <c r="O42" s="138">
        <v>5</v>
      </c>
      <c r="P42" s="141" t="s">
        <v>42</v>
      </c>
      <c r="Q42" s="140">
        <v>68.8</v>
      </c>
      <c r="R42" s="142">
        <v>6880</v>
      </c>
    </row>
    <row r="43" spans="1:18" ht="17.25" thickBot="1" x14ac:dyDescent="0.35">
      <c r="A43" s="1"/>
      <c r="G43" s="17" t="s">
        <v>100</v>
      </c>
      <c r="L43" s="33"/>
      <c r="O43" s="138">
        <v>6</v>
      </c>
      <c r="P43" s="139" t="s">
        <v>43</v>
      </c>
      <c r="Q43" s="140">
        <v>30</v>
      </c>
      <c r="R43" s="142">
        <v>3000</v>
      </c>
    </row>
    <row r="44" spans="1:18" ht="17.25" thickBot="1" x14ac:dyDescent="0.35">
      <c r="A44" s="1"/>
      <c r="G44" s="17" t="s">
        <v>101</v>
      </c>
      <c r="H44" s="17">
        <v>57.94</v>
      </c>
      <c r="I44" s="17">
        <v>204.26</v>
      </c>
      <c r="J44" s="145">
        <f>H44*I44</f>
        <v>11834.8244</v>
      </c>
      <c r="L44" s="33"/>
      <c r="O44" s="138">
        <v>7</v>
      </c>
      <c r="P44" s="139" t="s">
        <v>44</v>
      </c>
      <c r="Q44" s="140">
        <v>1</v>
      </c>
      <c r="R44" s="140">
        <v>100</v>
      </c>
    </row>
    <row r="45" spans="1:18" ht="17.25" thickBot="1" x14ac:dyDescent="0.35">
      <c r="A45" s="1"/>
      <c r="G45" s="17"/>
      <c r="H45" s="17"/>
      <c r="I45" s="17"/>
      <c r="J45" s="145"/>
      <c r="L45" s="33"/>
      <c r="O45" s="169" t="s">
        <v>45</v>
      </c>
      <c r="P45" s="170"/>
      <c r="Q45" s="143">
        <v>442.8</v>
      </c>
      <c r="R45" s="144">
        <v>44280</v>
      </c>
    </row>
    <row r="46" spans="1:18" x14ac:dyDescent="0.3">
      <c r="A46" s="1"/>
      <c r="G46" s="17" t="s">
        <v>102</v>
      </c>
      <c r="H46" s="17"/>
      <c r="I46" s="17"/>
      <c r="J46" s="145"/>
      <c r="L46" s="33"/>
      <c r="O46" s="32"/>
    </row>
    <row r="47" spans="1:18" x14ac:dyDescent="0.3">
      <c r="A47" s="1"/>
      <c r="G47" s="17" t="s">
        <v>103</v>
      </c>
      <c r="H47" s="17">
        <v>15.31</v>
      </c>
      <c r="I47" s="17">
        <v>17.78</v>
      </c>
      <c r="J47" s="145">
        <f>H47*I47</f>
        <v>272.21180000000004</v>
      </c>
      <c r="R47" s="1">
        <v>35460</v>
      </c>
    </row>
    <row r="48" spans="1:18" x14ac:dyDescent="0.3">
      <c r="A48" s="1"/>
      <c r="G48" s="17" t="s">
        <v>104</v>
      </c>
      <c r="H48" s="17">
        <v>15.31</v>
      </c>
      <c r="I48" s="17">
        <v>13.41</v>
      </c>
      <c r="J48" s="145">
        <f>H48*I48</f>
        <v>205.30710000000002</v>
      </c>
      <c r="R48" s="1">
        <v>31560</v>
      </c>
    </row>
    <row r="49" spans="1:18" x14ac:dyDescent="0.3">
      <c r="A49" s="1"/>
      <c r="B49" s="1"/>
      <c r="G49" s="17" t="s">
        <v>105</v>
      </c>
      <c r="H49" s="17">
        <v>9.73</v>
      </c>
      <c r="I49" s="17">
        <v>19.68</v>
      </c>
      <c r="J49" s="145">
        <f>H49*I49</f>
        <v>191.4864</v>
      </c>
      <c r="R49" s="1">
        <f>R47-R48</f>
        <v>3900</v>
      </c>
    </row>
    <row r="50" spans="1:18" x14ac:dyDescent="0.3">
      <c r="A50" s="1"/>
      <c r="B50" s="1"/>
      <c r="G50" s="17" t="s">
        <v>106</v>
      </c>
      <c r="H50" s="17">
        <v>18.850000000000001</v>
      </c>
      <c r="I50" s="17">
        <v>14.48</v>
      </c>
      <c r="J50" s="145">
        <f>H50*I50</f>
        <v>272.94800000000004</v>
      </c>
    </row>
    <row r="51" spans="1:18" x14ac:dyDescent="0.3">
      <c r="A51" s="1"/>
      <c r="B51" s="1"/>
      <c r="G51" s="17"/>
      <c r="H51" s="17"/>
      <c r="I51" s="17"/>
      <c r="J51" s="145">
        <f>SUM(J47:J50)</f>
        <v>941.95330000000013</v>
      </c>
    </row>
    <row r="52" spans="1:18" x14ac:dyDescent="0.3">
      <c r="A52" s="1"/>
      <c r="B52" s="1"/>
    </row>
    <row r="53" spans="1:18" x14ac:dyDescent="0.3">
      <c r="A53" s="1"/>
      <c r="B53" s="1"/>
      <c r="G53" s="17" t="s">
        <v>107</v>
      </c>
      <c r="H53" s="17">
        <v>8</v>
      </c>
      <c r="I53" s="17">
        <v>8</v>
      </c>
      <c r="J53" s="17">
        <f>H53*I53</f>
        <v>64</v>
      </c>
    </row>
    <row r="54" spans="1:18" x14ac:dyDescent="0.3">
      <c r="A54" s="1"/>
      <c r="B54" s="1"/>
      <c r="G54" s="17" t="s">
        <v>108</v>
      </c>
      <c r="H54" s="17">
        <v>6</v>
      </c>
      <c r="I54" s="17">
        <v>16</v>
      </c>
      <c r="J54" s="17">
        <f>H54*I54</f>
        <v>96</v>
      </c>
    </row>
    <row r="55" spans="1:18" x14ac:dyDescent="0.3">
      <c r="A55" s="1"/>
      <c r="B55" s="1"/>
    </row>
    <row r="56" spans="1:18" ht="33" x14ac:dyDescent="0.3">
      <c r="A56" s="1"/>
      <c r="B56" s="1"/>
      <c r="G56" s="146" t="s">
        <v>109</v>
      </c>
      <c r="H56" s="17">
        <v>49.61</v>
      </c>
      <c r="I56" s="17">
        <v>19</v>
      </c>
      <c r="J56" s="17">
        <f>H56*I56</f>
        <v>942.59</v>
      </c>
    </row>
    <row r="57" spans="1:18" x14ac:dyDescent="0.3">
      <c r="A57" s="1"/>
      <c r="B57" s="1"/>
      <c r="H57" s="17">
        <v>48.82</v>
      </c>
      <c r="I57" s="17">
        <v>49.6</v>
      </c>
      <c r="J57" s="17">
        <f>H57*I57</f>
        <v>2421.4720000000002</v>
      </c>
    </row>
    <row r="58" spans="1:18" x14ac:dyDescent="0.3">
      <c r="A58" s="1"/>
      <c r="B58" s="1"/>
      <c r="F58" s="34"/>
      <c r="G58" s="34"/>
      <c r="H58" s="147">
        <v>19.87</v>
      </c>
      <c r="I58" s="147">
        <v>23.26</v>
      </c>
      <c r="J58" s="148">
        <f>H58*I58</f>
        <v>462.17620000000005</v>
      </c>
    </row>
    <row r="59" spans="1:18" x14ac:dyDescent="0.3">
      <c r="A59" s="1"/>
      <c r="B59" s="1"/>
      <c r="F59" s="32"/>
      <c r="G59" s="1"/>
      <c r="H59" s="32"/>
      <c r="I59" s="32"/>
      <c r="J59" s="1">
        <f>SUM(J56:J58)</f>
        <v>3826.2382000000002</v>
      </c>
    </row>
    <row r="60" spans="1:18" x14ac:dyDescent="0.3">
      <c r="A60" s="1"/>
      <c r="B60" s="1"/>
      <c r="F60" s="32"/>
      <c r="G60" s="32"/>
      <c r="H60" s="41"/>
      <c r="I60" s="41"/>
    </row>
    <row r="61" spans="1:18" x14ac:dyDescent="0.3">
      <c r="A61" s="1"/>
      <c r="B61" s="1"/>
      <c r="F61" s="32"/>
      <c r="G61" s="32" t="s">
        <v>110</v>
      </c>
      <c r="H61" s="32">
        <v>6</v>
      </c>
      <c r="I61" s="32">
        <v>8</v>
      </c>
      <c r="J61" s="1">
        <f>H61*I61</f>
        <v>48</v>
      </c>
    </row>
    <row r="62" spans="1:18" x14ac:dyDescent="0.3">
      <c r="A62" s="1"/>
      <c r="B62" s="1"/>
      <c r="F62" s="32"/>
      <c r="G62" s="35"/>
      <c r="H62" s="32"/>
      <c r="I62" s="32"/>
    </row>
    <row r="63" spans="1:18" ht="33" x14ac:dyDescent="0.3">
      <c r="A63" s="1"/>
      <c r="B63" s="1"/>
      <c r="F63" s="32"/>
      <c r="G63" s="32" t="s">
        <v>113</v>
      </c>
      <c r="H63" s="32"/>
      <c r="I63" s="32"/>
    </row>
    <row r="64" spans="1:18" x14ac:dyDescent="0.3">
      <c r="A64" s="1"/>
      <c r="B64" s="1"/>
      <c r="F64" s="32"/>
      <c r="G64" s="32" t="s">
        <v>111</v>
      </c>
      <c r="H64" s="32"/>
      <c r="I64" s="32"/>
    </row>
    <row r="65" spans="1:10" x14ac:dyDescent="0.3">
      <c r="A65" s="1"/>
      <c r="B65" s="1"/>
      <c r="F65" s="32"/>
      <c r="G65" s="32" t="s">
        <v>112</v>
      </c>
      <c r="H65" s="32">
        <v>20</v>
      </c>
      <c r="I65" s="32">
        <v>8.8699999999999992</v>
      </c>
      <c r="J65" s="1">
        <f>H65*I65</f>
        <v>177.39999999999998</v>
      </c>
    </row>
    <row r="66" spans="1:10" x14ac:dyDescent="0.3">
      <c r="A66" s="1"/>
      <c r="B66" s="1"/>
      <c r="F66" s="32"/>
      <c r="G66" s="32" t="s">
        <v>103</v>
      </c>
      <c r="H66" s="32">
        <v>17.55</v>
      </c>
      <c r="I66" s="32">
        <v>19.399999999999999</v>
      </c>
      <c r="J66" s="1">
        <f>H66*I66</f>
        <v>340.46999999999997</v>
      </c>
    </row>
    <row r="67" spans="1:10" x14ac:dyDescent="0.3">
      <c r="A67" s="1"/>
      <c r="B67" s="1"/>
      <c r="F67" s="32"/>
      <c r="G67" s="32"/>
      <c r="H67" s="32"/>
      <c r="I67" s="32"/>
    </row>
    <row r="68" spans="1:10" x14ac:dyDescent="0.3">
      <c r="A68" s="1"/>
      <c r="B68" s="1"/>
      <c r="F68" s="32"/>
      <c r="G68" s="32" t="s">
        <v>114</v>
      </c>
      <c r="H68" s="32"/>
      <c r="I68" s="32"/>
    </row>
    <row r="69" spans="1:10" x14ac:dyDescent="0.3">
      <c r="A69" s="1"/>
      <c r="B69" s="1"/>
      <c r="G69" s="149" t="s">
        <v>115</v>
      </c>
      <c r="H69" s="4">
        <v>16.32</v>
      </c>
      <c r="I69" s="4">
        <v>19.440000000000001</v>
      </c>
      <c r="J69" s="1">
        <f>H69*I69</f>
        <v>317.26080000000002</v>
      </c>
    </row>
    <row r="70" spans="1:10" x14ac:dyDescent="0.3">
      <c r="A70" s="1"/>
      <c r="B70" s="1"/>
      <c r="H70" s="4">
        <v>16.8</v>
      </c>
      <c r="I70" s="4">
        <v>19.440000000000001</v>
      </c>
      <c r="J70" s="1">
        <f>H70*I70</f>
        <v>326.59200000000004</v>
      </c>
    </row>
    <row r="71" spans="1:10" x14ac:dyDescent="0.3">
      <c r="A71" s="1"/>
      <c r="B71" s="1"/>
      <c r="G71" s="4" t="s">
        <v>107</v>
      </c>
      <c r="H71" s="4">
        <v>13.86</v>
      </c>
      <c r="I71" s="4">
        <v>15.62</v>
      </c>
      <c r="J71" s="1">
        <f>H71*I71</f>
        <v>216.49319999999997</v>
      </c>
    </row>
    <row r="72" spans="1:10" x14ac:dyDescent="0.3">
      <c r="A72" s="1"/>
      <c r="B72" s="1"/>
      <c r="G72" s="4" t="s">
        <v>108</v>
      </c>
      <c r="H72" s="4">
        <v>7</v>
      </c>
      <c r="I72" s="4">
        <v>4</v>
      </c>
      <c r="J72" s="1">
        <f>H72*I72</f>
        <v>28</v>
      </c>
    </row>
    <row r="73" spans="1:10" x14ac:dyDescent="0.3">
      <c r="A73" s="1"/>
      <c r="B73" s="1"/>
      <c r="G73" s="4" t="s">
        <v>116</v>
      </c>
    </row>
    <row r="74" spans="1:10" x14ac:dyDescent="0.3">
      <c r="A74" s="1"/>
      <c r="B74" s="1"/>
      <c r="F74" s="36"/>
    </row>
    <row r="75" spans="1:10" x14ac:dyDescent="0.3">
      <c r="A75" s="1"/>
      <c r="B75" s="1"/>
      <c r="F75" s="36"/>
    </row>
    <row r="76" spans="1:10" x14ac:dyDescent="0.3">
      <c r="A76" s="1"/>
      <c r="B76" s="1"/>
      <c r="F76" s="36"/>
    </row>
    <row r="77" spans="1:10" x14ac:dyDescent="0.3">
      <c r="A77" s="1"/>
      <c r="B77" s="1"/>
      <c r="F77" s="36"/>
    </row>
    <row r="78" spans="1:10" x14ac:dyDescent="0.3">
      <c r="A78" s="1"/>
      <c r="B78" s="1"/>
      <c r="F78" s="36"/>
    </row>
    <row r="79" spans="1:10" x14ac:dyDescent="0.3">
      <c r="A79" s="1"/>
      <c r="B79" s="1"/>
      <c r="F79" s="36"/>
    </row>
    <row r="80" spans="1:10" x14ac:dyDescent="0.3">
      <c r="A80" s="1"/>
      <c r="B80" s="1"/>
      <c r="F80" s="36"/>
    </row>
    <row r="81" spans="1:6" x14ac:dyDescent="0.3">
      <c r="A81" s="1"/>
      <c r="B81" s="1"/>
      <c r="F81" s="36"/>
    </row>
    <row r="82" spans="1:6" x14ac:dyDescent="0.3">
      <c r="A82" s="1"/>
      <c r="B82" s="1"/>
      <c r="F82" s="36"/>
    </row>
    <row r="83" spans="1:6" x14ac:dyDescent="0.3">
      <c r="A83" s="1"/>
      <c r="B83" s="1"/>
      <c r="F83" s="36"/>
    </row>
    <row r="84" spans="1:6" x14ac:dyDescent="0.3">
      <c r="A84" s="1"/>
      <c r="B84" s="1"/>
    </row>
    <row r="85" spans="1:6" x14ac:dyDescent="0.3">
      <c r="A85" s="1"/>
      <c r="B85" s="1"/>
    </row>
    <row r="86" spans="1:6" x14ac:dyDescent="0.3">
      <c r="A86" s="1"/>
      <c r="B86" s="1"/>
    </row>
    <row r="87" spans="1:6" x14ac:dyDescent="0.3">
      <c r="A87" s="1"/>
      <c r="B87" s="1"/>
    </row>
    <row r="88" spans="1:6" x14ac:dyDescent="0.3">
      <c r="A88" s="1"/>
      <c r="B88" s="1"/>
    </row>
    <row r="89" spans="1:6" x14ac:dyDescent="0.3">
      <c r="A89" s="1"/>
      <c r="B89" s="1"/>
    </row>
    <row r="90" spans="1:6" x14ac:dyDescent="0.3">
      <c r="A90" s="1"/>
      <c r="B90" s="1"/>
    </row>
    <row r="91" spans="1:6" x14ac:dyDescent="0.3">
      <c r="A91" s="1"/>
      <c r="B91" s="1"/>
    </row>
    <row r="92" spans="1:6" x14ac:dyDescent="0.3">
      <c r="A92" s="1"/>
      <c r="B92" s="1"/>
    </row>
    <row r="93" spans="1:6" x14ac:dyDescent="0.3">
      <c r="A93" s="1"/>
      <c r="B93" s="1"/>
    </row>
    <row r="94" spans="1:6" x14ac:dyDescent="0.3">
      <c r="A94" s="1"/>
      <c r="B94" s="1"/>
    </row>
    <row r="95" spans="1:6" x14ac:dyDescent="0.3">
      <c r="A95" s="1"/>
      <c r="B95" s="1"/>
    </row>
    <row r="96" spans="1:6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  <row r="174" spans="1:2" x14ac:dyDescent="0.3">
      <c r="A174" s="1"/>
      <c r="B174" s="1"/>
    </row>
  </sheetData>
  <mergeCells count="5">
    <mergeCell ref="B21:C21"/>
    <mergeCell ref="B26:C26"/>
    <mergeCell ref="P36:P37"/>
    <mergeCell ref="Q36:Q37"/>
    <mergeCell ref="O45:P4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8DB57-AF03-49E0-A7E3-FC4FAFA611C8}">
  <dimension ref="A1:S174"/>
  <sheetViews>
    <sheetView topLeftCell="A16" workbookViewId="0">
      <selection activeCell="L25" sqref="L25"/>
    </sheetView>
  </sheetViews>
  <sheetFormatPr defaultRowHeight="16.5" x14ac:dyDescent="0.3"/>
  <cols>
    <col min="1" max="1" width="9.140625" style="16"/>
    <col min="2" max="2" width="28.7109375" style="127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4" bestFit="1" customWidth="1"/>
    <col min="8" max="8" width="15.28515625" style="4" bestFit="1" customWidth="1"/>
    <col min="9" max="9" width="15.28515625" style="4" customWidth="1"/>
    <col min="10" max="10" width="13.85546875" style="1" bestFit="1" customWidth="1"/>
    <col min="11" max="11" width="15.42578125" style="4" bestFit="1" customWidth="1"/>
    <col min="12" max="12" width="14.140625" style="1" customWidth="1"/>
    <col min="13" max="13" width="13.28515625" style="4" bestFit="1" customWidth="1"/>
    <col min="14" max="14" width="14.85546875" style="4" customWidth="1"/>
    <col min="15" max="15" width="14.85546875" style="4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6" t="s">
        <v>10</v>
      </c>
      <c r="E1" s="1" t="s">
        <v>65</v>
      </c>
      <c r="F1" s="4" t="s">
        <v>66</v>
      </c>
      <c r="H1" s="4" t="s">
        <v>67</v>
      </c>
      <c r="K1" s="4" t="s">
        <v>68</v>
      </c>
      <c r="O1" s="4" t="s">
        <v>69</v>
      </c>
      <c r="R1" s="4" t="s">
        <v>69</v>
      </c>
    </row>
    <row r="2" spans="1:19" x14ac:dyDescent="0.3">
      <c r="B2" s="12" t="s">
        <v>117</v>
      </c>
      <c r="C2" s="96">
        <v>31560</v>
      </c>
      <c r="D2" s="4" t="s">
        <v>65</v>
      </c>
      <c r="E2" s="40">
        <v>0</v>
      </c>
      <c r="F2" s="40">
        <f>MROUND(E2*10.764,1)</f>
        <v>0</v>
      </c>
      <c r="G2" s="97"/>
      <c r="H2" s="1" t="s">
        <v>65</v>
      </c>
      <c r="I2" s="96">
        <v>0</v>
      </c>
      <c r="J2" s="96">
        <f>C2</f>
        <v>31560</v>
      </c>
      <c r="K2" s="96">
        <v>2530</v>
      </c>
      <c r="L2" s="171">
        <f>J2*K2</f>
        <v>79846800</v>
      </c>
      <c r="O2" s="25" t="s">
        <v>70</v>
      </c>
      <c r="P2" s="99">
        <f>C36</f>
        <v>173362150</v>
      </c>
      <c r="R2" s="10">
        <f>P2*0.025/12</f>
        <v>361171.14583333331</v>
      </c>
      <c r="S2" s="8" t="s">
        <v>71</v>
      </c>
    </row>
    <row r="3" spans="1:19" x14ac:dyDescent="0.3">
      <c r="B3" s="13" t="s">
        <v>4</v>
      </c>
      <c r="C3" s="8">
        <v>4100</v>
      </c>
      <c r="D3" s="100"/>
      <c r="E3" s="37"/>
      <c r="F3" s="37"/>
      <c r="G3" s="100"/>
      <c r="H3" s="1" t="s">
        <v>66</v>
      </c>
      <c r="I3" s="96">
        <f>MROUND(I2/10.764,1)</f>
        <v>0</v>
      </c>
      <c r="J3" s="96">
        <v>3900</v>
      </c>
      <c r="K3" s="98">
        <v>278.26</v>
      </c>
      <c r="L3" s="172">
        <f>J3*K3</f>
        <v>1085214</v>
      </c>
      <c r="O3" s="25" t="s">
        <v>70</v>
      </c>
      <c r="P3" s="99">
        <f>C36</f>
        <v>173362150</v>
      </c>
      <c r="Q3" s="4"/>
      <c r="R3" s="10">
        <f>P3*0.04/12</f>
        <v>577873.83333333337</v>
      </c>
      <c r="S3" s="101" t="s">
        <v>72</v>
      </c>
    </row>
    <row r="4" spans="1:19" x14ac:dyDescent="0.3">
      <c r="B4" s="102" t="s">
        <v>15</v>
      </c>
      <c r="C4" s="98">
        <f>ROUND((C2*C3),0)</f>
        <v>129396000</v>
      </c>
      <c r="F4" s="17"/>
      <c r="G4" s="17"/>
      <c r="I4" s="98"/>
      <c r="J4" s="96">
        <f>SUM(J2:J3)</f>
        <v>35460</v>
      </c>
      <c r="K4" s="98"/>
      <c r="L4" s="171">
        <f>N19</f>
        <v>31486150</v>
      </c>
      <c r="O4" s="25" t="s">
        <v>70</v>
      </c>
      <c r="P4" s="99">
        <f>C36</f>
        <v>173362150</v>
      </c>
      <c r="Q4" s="4"/>
      <c r="R4" s="10">
        <f>P4*0.033/12</f>
        <v>476745.91250000003</v>
      </c>
      <c r="S4" s="8" t="s">
        <v>73</v>
      </c>
    </row>
    <row r="5" spans="1:19" x14ac:dyDescent="0.3">
      <c r="B5" s="102"/>
      <c r="C5" s="98"/>
      <c r="F5" s="17"/>
      <c r="G5" s="17"/>
      <c r="I5" s="98"/>
      <c r="J5" s="96"/>
      <c r="K5" s="98"/>
      <c r="L5" s="173">
        <f>SUM(L2:L4)</f>
        <v>112418164</v>
      </c>
      <c r="O5" s="25"/>
      <c r="P5" s="99"/>
      <c r="Q5" s="4"/>
      <c r="R5" s="10"/>
      <c r="S5" s="8"/>
    </row>
    <row r="6" spans="1:19" x14ac:dyDescent="0.3">
      <c r="B6" s="6" t="s">
        <v>10</v>
      </c>
      <c r="F6" s="17"/>
      <c r="G6" s="17"/>
      <c r="I6" s="98"/>
      <c r="J6" s="96"/>
      <c r="K6" s="98"/>
      <c r="L6" s="98"/>
      <c r="O6" s="25"/>
      <c r="P6" s="99"/>
      <c r="Q6" s="4"/>
      <c r="R6" s="10"/>
      <c r="S6" s="8"/>
    </row>
    <row r="7" spans="1:19" x14ac:dyDescent="0.3">
      <c r="B7" s="12" t="s">
        <v>118</v>
      </c>
      <c r="C7" s="96">
        <v>3900</v>
      </c>
      <c r="D7" s="4" t="s">
        <v>65</v>
      </c>
      <c r="F7" s="17">
        <f>3900/10000</f>
        <v>0.39</v>
      </c>
      <c r="G7" s="17"/>
      <c r="I7" s="98">
        <f>C4+C9</f>
        <v>141876000</v>
      </c>
      <c r="J7" s="96"/>
      <c r="K7" s="98"/>
      <c r="L7" s="98"/>
      <c r="O7" s="25"/>
      <c r="P7" s="99"/>
      <c r="Q7" s="4"/>
      <c r="R7" s="10"/>
      <c r="S7" s="8"/>
    </row>
    <row r="8" spans="1:19" x14ac:dyDescent="0.3">
      <c r="B8" s="13" t="s">
        <v>4</v>
      </c>
      <c r="C8" s="8">
        <v>3200</v>
      </c>
      <c r="D8" s="100"/>
      <c r="F8" s="17"/>
      <c r="G8" s="17"/>
      <c r="I8" s="98">
        <f>I7/J4</f>
        <v>4001.0152284263959</v>
      </c>
      <c r="J8" s="96"/>
      <c r="K8" s="98"/>
      <c r="L8" s="98"/>
      <c r="O8" s="25"/>
      <c r="P8" s="99"/>
      <c r="Q8" s="4"/>
      <c r="R8" s="10"/>
      <c r="S8" s="8"/>
    </row>
    <row r="9" spans="1:19" x14ac:dyDescent="0.3">
      <c r="B9" s="102" t="s">
        <v>15</v>
      </c>
      <c r="C9" s="98">
        <f>ROUND((C7*C8),0)</f>
        <v>12480000</v>
      </c>
      <c r="F9" s="17"/>
      <c r="G9" s="17"/>
      <c r="I9" s="98"/>
      <c r="J9" s="96"/>
      <c r="K9" s="98"/>
      <c r="L9" s="98"/>
      <c r="O9" s="25"/>
      <c r="P9" s="99"/>
      <c r="Q9" s="4"/>
      <c r="R9" s="10"/>
      <c r="S9" s="8"/>
    </row>
    <row r="10" spans="1:19" x14ac:dyDescent="0.3">
      <c r="B10" s="6" t="s">
        <v>11</v>
      </c>
    </row>
    <row r="11" spans="1:19" s="2" customFormat="1" ht="57" x14ac:dyDescent="0.2">
      <c r="A11" s="103" t="s">
        <v>74</v>
      </c>
      <c r="B11" s="104" t="s">
        <v>75</v>
      </c>
      <c r="C11" s="104" t="s">
        <v>32</v>
      </c>
      <c r="D11" s="104" t="s">
        <v>76</v>
      </c>
      <c r="E11" s="104" t="s">
        <v>0</v>
      </c>
      <c r="F11" s="104" t="s">
        <v>1</v>
      </c>
      <c r="G11" s="104" t="s">
        <v>64</v>
      </c>
      <c r="H11" s="105" t="s">
        <v>77</v>
      </c>
      <c r="I11" s="105" t="s">
        <v>18</v>
      </c>
      <c r="J11" s="106" t="s">
        <v>2</v>
      </c>
      <c r="K11" s="106" t="s">
        <v>3</v>
      </c>
      <c r="L11" s="105" t="s">
        <v>78</v>
      </c>
      <c r="M11" s="107" t="s">
        <v>19</v>
      </c>
      <c r="N11" s="107" t="s">
        <v>79</v>
      </c>
      <c r="O11" s="107" t="s">
        <v>80</v>
      </c>
    </row>
    <row r="12" spans="1:19" s="2" customFormat="1" ht="14.25" x14ac:dyDescent="0.2">
      <c r="A12" s="103"/>
      <c r="B12" s="104"/>
      <c r="C12" s="105" t="s">
        <v>88</v>
      </c>
      <c r="D12" s="104"/>
      <c r="E12" s="104"/>
      <c r="F12" s="104"/>
      <c r="G12" s="108" t="s">
        <v>81</v>
      </c>
      <c r="H12" s="109" t="s">
        <v>82</v>
      </c>
      <c r="I12" s="109" t="s">
        <v>82</v>
      </c>
      <c r="J12" s="106"/>
      <c r="K12" s="106"/>
      <c r="L12" s="106" t="s">
        <v>83</v>
      </c>
      <c r="M12" s="106" t="s">
        <v>83</v>
      </c>
      <c r="N12" s="106" t="s">
        <v>83</v>
      </c>
      <c r="O12" s="106" t="s">
        <v>83</v>
      </c>
    </row>
    <row r="13" spans="1:19" s="23" customFormat="1" ht="27" x14ac:dyDescent="0.25">
      <c r="A13" s="110">
        <v>1</v>
      </c>
      <c r="B13" s="111" t="s">
        <v>87</v>
      </c>
      <c r="C13" s="132">
        <v>3264.2890000000002</v>
      </c>
      <c r="D13" s="112">
        <v>2010</v>
      </c>
      <c r="E13" s="112">
        <v>2024</v>
      </c>
      <c r="F13" s="112">
        <v>50</v>
      </c>
      <c r="G13" s="113">
        <v>12000</v>
      </c>
      <c r="H13" s="114">
        <f t="shared" ref="H13:H18" si="0">E13-D13</f>
        <v>14</v>
      </c>
      <c r="I13" s="114">
        <f t="shared" ref="I13:I18" si="1">F13-H13</f>
        <v>36</v>
      </c>
      <c r="J13" s="114">
        <f t="shared" ref="J13:J18" si="2">IF(H13&gt;=5,90*H13/F13,0)</f>
        <v>25.2</v>
      </c>
      <c r="K13" s="114">
        <f t="shared" ref="K13:K18" si="3">G13/100*J13</f>
        <v>3024</v>
      </c>
      <c r="L13" s="114">
        <f t="shared" ref="L13:L18" si="4">ROUND((G13-K13),0)</f>
        <v>8976</v>
      </c>
      <c r="M13" s="114">
        <f t="shared" ref="M13:M18" si="5">O13-N13</f>
        <v>9871210</v>
      </c>
      <c r="N13" s="114">
        <f t="shared" ref="N13:N18" si="6">ROUND((L13*C13),0)</f>
        <v>29300258</v>
      </c>
      <c r="O13" s="114">
        <f t="shared" ref="O13:O18" si="7">ROUND((C13*G13),0)</f>
        <v>39171468</v>
      </c>
    </row>
    <row r="14" spans="1:19" s="23" customFormat="1" x14ac:dyDescent="0.25">
      <c r="A14" s="110">
        <v>2</v>
      </c>
      <c r="B14" s="111" t="s">
        <v>89</v>
      </c>
      <c r="C14" s="132">
        <v>62.890999999999998</v>
      </c>
      <c r="D14" s="112">
        <v>2010</v>
      </c>
      <c r="E14" s="112">
        <v>2024</v>
      </c>
      <c r="F14" s="112">
        <v>50</v>
      </c>
      <c r="G14" s="113">
        <v>8000</v>
      </c>
      <c r="H14" s="114">
        <f t="shared" si="0"/>
        <v>14</v>
      </c>
      <c r="I14" s="114">
        <f t="shared" si="1"/>
        <v>36</v>
      </c>
      <c r="J14" s="114">
        <f t="shared" si="2"/>
        <v>25.2</v>
      </c>
      <c r="K14" s="114">
        <f t="shared" si="3"/>
        <v>2016</v>
      </c>
      <c r="L14" s="114">
        <f t="shared" si="4"/>
        <v>5984</v>
      </c>
      <c r="M14" s="114">
        <f t="shared" si="5"/>
        <v>126788</v>
      </c>
      <c r="N14" s="114">
        <f t="shared" si="6"/>
        <v>376340</v>
      </c>
      <c r="O14" s="114">
        <f t="shared" si="7"/>
        <v>503128</v>
      </c>
    </row>
    <row r="15" spans="1:19" s="23" customFormat="1" ht="17.25" customHeight="1" x14ac:dyDescent="0.25">
      <c r="A15" s="110">
        <v>3</v>
      </c>
      <c r="B15" s="111" t="s">
        <v>90</v>
      </c>
      <c r="C15" s="132">
        <v>105.645</v>
      </c>
      <c r="D15" s="112">
        <v>2010</v>
      </c>
      <c r="E15" s="112">
        <v>2024</v>
      </c>
      <c r="F15" s="112">
        <v>60</v>
      </c>
      <c r="G15" s="113">
        <v>9000</v>
      </c>
      <c r="H15" s="114">
        <f t="shared" si="0"/>
        <v>14</v>
      </c>
      <c r="I15" s="114">
        <f t="shared" si="1"/>
        <v>46</v>
      </c>
      <c r="J15" s="114">
        <f t="shared" si="2"/>
        <v>21</v>
      </c>
      <c r="K15" s="114">
        <f t="shared" si="3"/>
        <v>1890</v>
      </c>
      <c r="L15" s="114">
        <f t="shared" si="4"/>
        <v>7110</v>
      </c>
      <c r="M15" s="114">
        <f t="shared" si="5"/>
        <v>199669</v>
      </c>
      <c r="N15" s="114">
        <f t="shared" si="6"/>
        <v>751136</v>
      </c>
      <c r="O15" s="114">
        <f t="shared" si="7"/>
        <v>950805</v>
      </c>
    </row>
    <row r="16" spans="1:19" s="23" customFormat="1" x14ac:dyDescent="0.25">
      <c r="A16" s="110">
        <v>4</v>
      </c>
      <c r="B16" s="111" t="s">
        <v>91</v>
      </c>
      <c r="C16" s="132">
        <v>50.274999999999999</v>
      </c>
      <c r="D16" s="112">
        <v>2010</v>
      </c>
      <c r="E16" s="112">
        <v>2024</v>
      </c>
      <c r="F16" s="112">
        <v>60</v>
      </c>
      <c r="G16" s="113">
        <v>9000</v>
      </c>
      <c r="H16" s="114">
        <f t="shared" si="0"/>
        <v>14</v>
      </c>
      <c r="I16" s="114">
        <f t="shared" si="1"/>
        <v>46</v>
      </c>
      <c r="J16" s="114">
        <f t="shared" si="2"/>
        <v>21</v>
      </c>
      <c r="K16" s="114">
        <f t="shared" si="3"/>
        <v>1890</v>
      </c>
      <c r="L16" s="114">
        <f t="shared" si="4"/>
        <v>7110</v>
      </c>
      <c r="M16" s="114">
        <f t="shared" si="5"/>
        <v>95020</v>
      </c>
      <c r="N16" s="114">
        <f t="shared" si="6"/>
        <v>357455</v>
      </c>
      <c r="O16" s="114">
        <f t="shared" si="7"/>
        <v>452475</v>
      </c>
    </row>
    <row r="17" spans="1:15" s="23" customFormat="1" x14ac:dyDescent="0.25">
      <c r="A17" s="110">
        <v>5</v>
      </c>
      <c r="B17" s="111" t="s">
        <v>92</v>
      </c>
      <c r="C17" s="132">
        <v>67.132000000000005</v>
      </c>
      <c r="D17" s="112">
        <v>2010</v>
      </c>
      <c r="E17" s="112">
        <v>2024</v>
      </c>
      <c r="F17" s="112">
        <v>60</v>
      </c>
      <c r="G17" s="113">
        <v>9000</v>
      </c>
      <c r="H17" s="114">
        <f t="shared" si="0"/>
        <v>14</v>
      </c>
      <c r="I17" s="114">
        <f t="shared" si="1"/>
        <v>46</v>
      </c>
      <c r="J17" s="114">
        <f t="shared" si="2"/>
        <v>21</v>
      </c>
      <c r="K17" s="114">
        <f t="shared" si="3"/>
        <v>1890</v>
      </c>
      <c r="L17" s="114">
        <f t="shared" si="4"/>
        <v>7110</v>
      </c>
      <c r="M17" s="114">
        <f t="shared" si="5"/>
        <v>126879</v>
      </c>
      <c r="N17" s="114">
        <f t="shared" si="6"/>
        <v>477309</v>
      </c>
      <c r="O17" s="114">
        <f t="shared" si="7"/>
        <v>604188</v>
      </c>
    </row>
    <row r="18" spans="1:15" x14ac:dyDescent="0.3">
      <c r="A18" s="115">
        <v>6</v>
      </c>
      <c r="B18" s="111" t="s">
        <v>93</v>
      </c>
      <c r="C18" s="132">
        <v>31.456</v>
      </c>
      <c r="D18" s="112">
        <v>2010</v>
      </c>
      <c r="E18" s="112">
        <v>2024</v>
      </c>
      <c r="F18" s="112">
        <v>60</v>
      </c>
      <c r="G18" s="113">
        <v>9000</v>
      </c>
      <c r="H18" s="114">
        <f t="shared" si="0"/>
        <v>14</v>
      </c>
      <c r="I18" s="114">
        <f t="shared" si="1"/>
        <v>46</v>
      </c>
      <c r="J18" s="114">
        <f t="shared" si="2"/>
        <v>21</v>
      </c>
      <c r="K18" s="114">
        <f t="shared" si="3"/>
        <v>1890</v>
      </c>
      <c r="L18" s="114">
        <f t="shared" si="4"/>
        <v>7110</v>
      </c>
      <c r="M18" s="116">
        <f t="shared" si="5"/>
        <v>59452</v>
      </c>
      <c r="N18" s="114">
        <f t="shared" si="6"/>
        <v>223652</v>
      </c>
      <c r="O18" s="114">
        <f t="shared" si="7"/>
        <v>283104</v>
      </c>
    </row>
    <row r="19" spans="1:15" x14ac:dyDescent="0.3">
      <c r="A19" s="115"/>
      <c r="B19" s="117" t="s">
        <v>45</v>
      </c>
      <c r="C19" s="133">
        <f>SUM(C13:C18)</f>
        <v>3581.6880000000006</v>
      </c>
      <c r="D19" s="118"/>
      <c r="E19" s="118"/>
      <c r="F19" s="119"/>
      <c r="G19" s="114"/>
      <c r="H19" s="114"/>
      <c r="I19" s="114"/>
      <c r="J19" s="120"/>
      <c r="K19" s="114"/>
      <c r="L19" s="120"/>
      <c r="M19" s="114">
        <f>SUM(M13:M18)</f>
        <v>10479018</v>
      </c>
      <c r="N19" s="114">
        <f>SUM(N13:N18)</f>
        <v>31486150</v>
      </c>
      <c r="O19" s="114">
        <f>SUM(O13:O18)</f>
        <v>41965168</v>
      </c>
    </row>
    <row r="20" spans="1:15" x14ac:dyDescent="0.3">
      <c r="B20" s="26"/>
      <c r="C20" s="23"/>
      <c r="D20" s="23"/>
      <c r="E20" s="23"/>
      <c r="F20" s="27"/>
      <c r="G20" s="27"/>
      <c r="H20" s="27"/>
      <c r="I20" s="27"/>
      <c r="J20" s="23"/>
      <c r="K20" s="73"/>
      <c r="L20" s="121"/>
      <c r="M20" s="27"/>
      <c r="N20" s="28"/>
      <c r="O20" s="28"/>
    </row>
    <row r="21" spans="1:15" x14ac:dyDescent="0.3">
      <c r="B21" s="162" t="s">
        <v>21</v>
      </c>
      <c r="C21" s="162"/>
      <c r="D21" s="23"/>
      <c r="E21" s="23"/>
      <c r="F21" s="27"/>
      <c r="G21" s="27"/>
      <c r="H21" s="27"/>
      <c r="I21" s="27"/>
      <c r="J21" s="23"/>
      <c r="K21" s="73"/>
      <c r="L21" s="121"/>
      <c r="M21" s="27"/>
      <c r="N21" s="28"/>
      <c r="O21" s="28"/>
    </row>
    <row r="22" spans="1:15" x14ac:dyDescent="0.3">
      <c r="B22" s="12" t="s">
        <v>22</v>
      </c>
      <c r="C22" s="122">
        <v>0</v>
      </c>
      <c r="D22" s="23"/>
      <c r="E22" s="23"/>
      <c r="F22" s="27"/>
      <c r="G22" s="27"/>
      <c r="H22" s="27"/>
      <c r="I22" s="27"/>
      <c r="J22" s="23"/>
      <c r="K22" s="73"/>
      <c r="L22" s="121"/>
      <c r="M22" s="27"/>
      <c r="N22" s="28"/>
      <c r="O22" s="28"/>
    </row>
    <row r="23" spans="1:15" x14ac:dyDescent="0.3">
      <c r="B23" s="13" t="s">
        <v>4</v>
      </c>
      <c r="C23" s="123">
        <v>0</v>
      </c>
      <c r="D23" s="23"/>
      <c r="E23" s="23"/>
      <c r="F23" s="27"/>
      <c r="G23" s="27"/>
      <c r="H23" s="27"/>
      <c r="I23" s="27"/>
      <c r="J23" s="23"/>
      <c r="K23" s="73"/>
      <c r="L23" s="121"/>
      <c r="M23" s="27"/>
      <c r="N23" s="28"/>
      <c r="O23" s="28"/>
    </row>
    <row r="24" spans="1:15" x14ac:dyDescent="0.3">
      <c r="B24" s="13" t="s">
        <v>5</v>
      </c>
      <c r="C24" s="124">
        <f>ROUND((C22*C23),0)</f>
        <v>0</v>
      </c>
      <c r="D24" s="23"/>
      <c r="E24" s="23"/>
      <c r="F24" s="27"/>
      <c r="G24" s="27"/>
      <c r="H24" s="27"/>
      <c r="I24" s="27"/>
      <c r="J24" s="23"/>
      <c r="K24" s="73"/>
      <c r="L24" s="121"/>
      <c r="M24" s="27"/>
      <c r="N24" s="28"/>
      <c r="O24" s="28"/>
    </row>
    <row r="25" spans="1:15" x14ac:dyDescent="0.3">
      <c r="B25" s="26"/>
      <c r="C25" s="23"/>
      <c r="D25" s="23"/>
      <c r="E25" s="23"/>
      <c r="F25" s="27"/>
      <c r="G25" s="27"/>
      <c r="H25" s="27"/>
      <c r="I25" s="27"/>
      <c r="J25" s="23"/>
      <c r="K25" s="73"/>
      <c r="L25" s="121"/>
      <c r="M25" s="27"/>
      <c r="N25" s="28"/>
      <c r="O25" s="28"/>
    </row>
    <row r="26" spans="1:15" ht="22.5" customHeight="1" x14ac:dyDescent="0.3">
      <c r="B26" s="163" t="s">
        <v>12</v>
      </c>
      <c r="C26" s="164"/>
      <c r="D26" s="23"/>
      <c r="E26" s="23"/>
      <c r="F26" s="27"/>
      <c r="G26" s="27"/>
      <c r="H26" s="27"/>
      <c r="I26" s="27"/>
      <c r="J26" s="23"/>
      <c r="K26" s="27"/>
      <c r="L26" s="23"/>
      <c r="M26" s="27"/>
      <c r="N26" s="27"/>
      <c r="O26" s="27"/>
    </row>
    <row r="27" spans="1:15" x14ac:dyDescent="0.3">
      <c r="B27" s="12" t="s">
        <v>8</v>
      </c>
      <c r="C27" s="122">
        <v>0</v>
      </c>
      <c r="E27" s="29"/>
      <c r="F27" s="29"/>
      <c r="G27" s="125"/>
      <c r="H27" s="7"/>
      <c r="I27" s="7"/>
      <c r="L27" s="11"/>
      <c r="O27" s="4">
        <v>22</v>
      </c>
    </row>
    <row r="28" spans="1:15" x14ac:dyDescent="0.3">
      <c r="B28" s="13" t="s">
        <v>4</v>
      </c>
      <c r="C28" s="123">
        <v>0</v>
      </c>
      <c r="D28" s="126"/>
      <c r="E28" s="17"/>
      <c r="F28" s="17"/>
      <c r="G28" s="73"/>
      <c r="H28" s="7"/>
      <c r="I28" s="7"/>
      <c r="L28" s="11"/>
      <c r="O28" s="4">
        <v>17</v>
      </c>
    </row>
    <row r="29" spans="1:15" x14ac:dyDescent="0.3">
      <c r="B29" s="13" t="s">
        <v>5</v>
      </c>
      <c r="C29" s="124">
        <f>ROUND((C27*C28),0)</f>
        <v>0</v>
      </c>
      <c r="D29" s="5"/>
      <c r="E29" s="5"/>
      <c r="F29" s="11"/>
      <c r="H29" s="7"/>
      <c r="I29" s="7"/>
      <c r="L29" s="11"/>
      <c r="O29" s="4">
        <v>16</v>
      </c>
    </row>
    <row r="30" spans="1:15" x14ac:dyDescent="0.3">
      <c r="B30" s="16"/>
      <c r="C30" s="9"/>
      <c r="D30" s="5"/>
      <c r="E30" s="5"/>
      <c r="F30" s="11"/>
      <c r="H30" s="7"/>
      <c r="I30" s="7"/>
      <c r="L30" s="11"/>
    </row>
    <row r="31" spans="1:15" x14ac:dyDescent="0.3">
      <c r="C31" s="5" t="s">
        <v>84</v>
      </c>
      <c r="D31" s="5"/>
      <c r="E31" s="5"/>
      <c r="F31" s="11"/>
      <c r="H31" s="7"/>
      <c r="I31" s="7"/>
      <c r="L31" s="11"/>
    </row>
    <row r="32" spans="1:15" x14ac:dyDescent="0.3">
      <c r="B32" s="127" t="s">
        <v>10</v>
      </c>
      <c r="C32" s="128">
        <f>C4+C9</f>
        <v>141876000</v>
      </c>
      <c r="D32" s="9"/>
      <c r="E32" s="9"/>
      <c r="F32" s="9"/>
      <c r="G32" s="9"/>
      <c r="H32" s="10"/>
      <c r="I32" s="129">
        <v>11</v>
      </c>
      <c r="L32" s="8"/>
    </row>
    <row r="33" spans="1:18" x14ac:dyDescent="0.3">
      <c r="B33" s="127" t="s">
        <v>11</v>
      </c>
      <c r="C33" s="128">
        <f>N19</f>
        <v>31486150</v>
      </c>
      <c r="D33" s="9"/>
      <c r="E33" s="9"/>
      <c r="F33" s="9"/>
      <c r="G33" s="9"/>
      <c r="H33" s="10"/>
      <c r="I33" s="10"/>
      <c r="L33" s="10"/>
    </row>
    <row r="34" spans="1:18" x14ac:dyDescent="0.3">
      <c r="B34" s="127" t="s">
        <v>23</v>
      </c>
      <c r="C34" s="128">
        <f>C24</f>
        <v>0</v>
      </c>
      <c r="D34" s="9"/>
      <c r="E34" s="9"/>
      <c r="F34" s="9"/>
      <c r="G34" s="9"/>
      <c r="H34" s="10"/>
      <c r="I34" s="10"/>
      <c r="L34" s="10"/>
    </row>
    <row r="35" spans="1:18" ht="17.25" thickBot="1" x14ac:dyDescent="0.35">
      <c r="A35" s="1"/>
      <c r="B35" s="127" t="s">
        <v>9</v>
      </c>
      <c r="C35" s="128">
        <f>C29</f>
        <v>0</v>
      </c>
      <c r="D35" s="9"/>
      <c r="E35" s="9"/>
      <c r="F35" s="9"/>
      <c r="G35" s="9"/>
      <c r="H35" s="10"/>
      <c r="I35" s="10"/>
      <c r="L35" s="10"/>
    </row>
    <row r="36" spans="1:18" ht="32.25" customHeight="1" x14ac:dyDescent="0.3">
      <c r="A36" s="1"/>
      <c r="B36" s="6" t="s">
        <v>85</v>
      </c>
      <c r="C36" s="130">
        <f>C32+C33+C34+C35</f>
        <v>173362150</v>
      </c>
      <c r="D36" s="8"/>
      <c r="F36" s="8"/>
      <c r="O36" s="134" t="s">
        <v>94</v>
      </c>
      <c r="P36" s="165" t="s">
        <v>96</v>
      </c>
      <c r="Q36" s="167" t="s">
        <v>97</v>
      </c>
      <c r="R36" s="136" t="s">
        <v>98</v>
      </c>
    </row>
    <row r="37" spans="1:18" ht="17.25" thickBot="1" x14ac:dyDescent="0.35">
      <c r="A37" s="1"/>
      <c r="B37" s="6" t="s">
        <v>6</v>
      </c>
      <c r="C37" s="130">
        <f>MROUND(C36*90%,1)</f>
        <v>156025935</v>
      </c>
      <c r="D37" s="10">
        <v>143046000</v>
      </c>
      <c r="E37" s="1">
        <f>C37/D37</f>
        <v>1.0907395872656349</v>
      </c>
      <c r="F37" s="8"/>
      <c r="H37" s="15"/>
      <c r="I37" s="15"/>
      <c r="O37" s="135" t="s">
        <v>95</v>
      </c>
      <c r="P37" s="166"/>
      <c r="Q37" s="168"/>
      <c r="R37" s="137" t="s">
        <v>65</v>
      </c>
    </row>
    <row r="38" spans="1:18" ht="17.25" thickBot="1" x14ac:dyDescent="0.35">
      <c r="A38" s="1"/>
      <c r="B38" s="6" t="s">
        <v>7</v>
      </c>
      <c r="C38" s="130">
        <f>MROUND(C36*80%,1)</f>
        <v>138689720</v>
      </c>
      <c r="D38" s="10"/>
      <c r="F38" s="8"/>
      <c r="H38" s="15"/>
      <c r="I38" s="15"/>
      <c r="O38" s="138">
        <v>1</v>
      </c>
      <c r="P38" s="139" t="s">
        <v>38</v>
      </c>
      <c r="Q38" s="140">
        <v>8</v>
      </c>
      <c r="R38" s="140">
        <v>800</v>
      </c>
    </row>
    <row r="39" spans="1:18" s="23" customFormat="1" ht="17.25" thickBot="1" x14ac:dyDescent="0.35">
      <c r="B39" s="25" t="s">
        <v>86</v>
      </c>
      <c r="C39" s="131">
        <f>MROUND(C33*0.85,1)</f>
        <v>26763228</v>
      </c>
      <c r="D39" s="26"/>
      <c r="F39" s="27"/>
      <c r="G39" s="27"/>
      <c r="H39" s="27"/>
      <c r="I39" s="27"/>
      <c r="K39" s="27"/>
      <c r="M39" s="27"/>
      <c r="N39" s="27"/>
      <c r="O39" s="138">
        <v>2</v>
      </c>
      <c r="P39" s="141" t="s">
        <v>39</v>
      </c>
      <c r="Q39" s="140">
        <v>88.2</v>
      </c>
      <c r="R39" s="142">
        <v>0</v>
      </c>
    </row>
    <row r="40" spans="1:18" ht="17.25" thickBot="1" x14ac:dyDescent="0.35">
      <c r="A40" s="1"/>
      <c r="L40" s="33"/>
      <c r="O40" s="138">
        <v>3</v>
      </c>
      <c r="P40" s="141" t="s">
        <v>40</v>
      </c>
      <c r="Q40" s="140">
        <v>88</v>
      </c>
      <c r="R40" s="142">
        <v>8800</v>
      </c>
    </row>
    <row r="41" spans="1:18" ht="17.25" thickBot="1" x14ac:dyDescent="0.35">
      <c r="A41" s="1"/>
      <c r="L41" s="33"/>
      <c r="O41" s="138">
        <v>4</v>
      </c>
      <c r="P41" s="139" t="s">
        <v>99</v>
      </c>
      <c r="Q41" s="140">
        <v>158.80000000000001</v>
      </c>
      <c r="R41" s="142">
        <v>15880</v>
      </c>
    </row>
    <row r="42" spans="1:18" ht="17.25" thickBot="1" x14ac:dyDescent="0.35">
      <c r="A42" s="1"/>
      <c r="H42" s="15"/>
      <c r="I42" s="15"/>
      <c r="L42" s="33"/>
      <c r="O42" s="138">
        <v>5</v>
      </c>
      <c r="P42" s="141" t="s">
        <v>42</v>
      </c>
      <c r="Q42" s="140">
        <v>68.8</v>
      </c>
      <c r="R42" s="142">
        <v>6880</v>
      </c>
    </row>
    <row r="43" spans="1:18" ht="17.25" thickBot="1" x14ac:dyDescent="0.35">
      <c r="A43" s="1"/>
      <c r="G43" s="17" t="s">
        <v>100</v>
      </c>
      <c r="L43" s="33"/>
      <c r="O43" s="138">
        <v>6</v>
      </c>
      <c r="P43" s="139" t="s">
        <v>43</v>
      </c>
      <c r="Q43" s="140">
        <v>30</v>
      </c>
      <c r="R43" s="142">
        <v>3000</v>
      </c>
    </row>
    <row r="44" spans="1:18" ht="17.25" thickBot="1" x14ac:dyDescent="0.35">
      <c r="A44" s="1"/>
      <c r="G44" s="17" t="s">
        <v>101</v>
      </c>
      <c r="H44" s="17">
        <v>57.94</v>
      </c>
      <c r="I44" s="17">
        <v>204.26</v>
      </c>
      <c r="J44" s="145">
        <f>H44*I44</f>
        <v>11834.8244</v>
      </c>
      <c r="L44" s="33"/>
      <c r="O44" s="138">
        <v>7</v>
      </c>
      <c r="P44" s="139" t="s">
        <v>44</v>
      </c>
      <c r="Q44" s="140">
        <v>1</v>
      </c>
      <c r="R44" s="140">
        <v>100</v>
      </c>
    </row>
    <row r="45" spans="1:18" ht="17.25" thickBot="1" x14ac:dyDescent="0.35">
      <c r="A45" s="1"/>
      <c r="G45" s="17"/>
      <c r="H45" s="17"/>
      <c r="I45" s="17"/>
      <c r="J45" s="145"/>
      <c r="L45" s="33"/>
      <c r="O45" s="169" t="s">
        <v>45</v>
      </c>
      <c r="P45" s="170"/>
      <c r="Q45" s="143">
        <v>442.8</v>
      </c>
      <c r="R45" s="144">
        <v>44280</v>
      </c>
    </row>
    <row r="46" spans="1:18" x14ac:dyDescent="0.3">
      <c r="A46" s="1"/>
      <c r="G46" s="17" t="s">
        <v>102</v>
      </c>
      <c r="H46" s="17"/>
      <c r="I46" s="17"/>
      <c r="J46" s="145"/>
      <c r="L46" s="33"/>
      <c r="O46" s="32"/>
    </row>
    <row r="47" spans="1:18" x14ac:dyDescent="0.3">
      <c r="A47" s="1"/>
      <c r="G47" s="17" t="s">
        <v>103</v>
      </c>
      <c r="H47" s="17">
        <v>15.31</v>
      </c>
      <c r="I47" s="17">
        <v>17.78</v>
      </c>
      <c r="J47" s="145">
        <f>H47*I47</f>
        <v>272.21180000000004</v>
      </c>
      <c r="R47" s="1">
        <v>35460</v>
      </c>
    </row>
    <row r="48" spans="1:18" x14ac:dyDescent="0.3">
      <c r="A48" s="1"/>
      <c r="G48" s="17" t="s">
        <v>104</v>
      </c>
      <c r="H48" s="17">
        <v>15.31</v>
      </c>
      <c r="I48" s="17">
        <v>13.41</v>
      </c>
      <c r="J48" s="145">
        <f>H48*I48</f>
        <v>205.30710000000002</v>
      </c>
      <c r="R48" s="1">
        <v>31560</v>
      </c>
    </row>
    <row r="49" spans="1:18" x14ac:dyDescent="0.3">
      <c r="A49" s="1"/>
      <c r="B49" s="1"/>
      <c r="G49" s="17" t="s">
        <v>105</v>
      </c>
      <c r="H49" s="17">
        <v>9.73</v>
      </c>
      <c r="I49" s="17">
        <v>19.68</v>
      </c>
      <c r="J49" s="145">
        <f>H49*I49</f>
        <v>191.4864</v>
      </c>
      <c r="R49" s="1">
        <f>R47-R48</f>
        <v>3900</v>
      </c>
    </row>
    <row r="50" spans="1:18" x14ac:dyDescent="0.3">
      <c r="A50" s="1"/>
      <c r="B50" s="1"/>
      <c r="G50" s="17" t="s">
        <v>106</v>
      </c>
      <c r="H50" s="17">
        <v>18.850000000000001</v>
      </c>
      <c r="I50" s="17">
        <v>14.48</v>
      </c>
      <c r="J50" s="145">
        <f>H50*I50</f>
        <v>272.94800000000004</v>
      </c>
    </row>
    <row r="51" spans="1:18" x14ac:dyDescent="0.3">
      <c r="A51" s="1"/>
      <c r="B51" s="1"/>
      <c r="G51" s="17"/>
      <c r="H51" s="17"/>
      <c r="I51" s="17"/>
      <c r="J51" s="145">
        <f>SUM(J47:J50)</f>
        <v>941.95330000000013</v>
      </c>
    </row>
    <row r="52" spans="1:18" x14ac:dyDescent="0.3">
      <c r="A52" s="1"/>
      <c r="B52" s="1"/>
    </row>
    <row r="53" spans="1:18" x14ac:dyDescent="0.3">
      <c r="A53" s="1"/>
      <c r="B53" s="1"/>
      <c r="G53" s="17" t="s">
        <v>107</v>
      </c>
      <c r="H53" s="17">
        <v>8</v>
      </c>
      <c r="I53" s="17">
        <v>8</v>
      </c>
      <c r="J53" s="17">
        <f>H53*I53</f>
        <v>64</v>
      </c>
    </row>
    <row r="54" spans="1:18" x14ac:dyDescent="0.3">
      <c r="A54" s="1"/>
      <c r="B54" s="1"/>
      <c r="G54" s="17" t="s">
        <v>108</v>
      </c>
      <c r="H54" s="17">
        <v>6</v>
      </c>
      <c r="I54" s="17">
        <v>16</v>
      </c>
      <c r="J54" s="17">
        <f>H54*I54</f>
        <v>96</v>
      </c>
    </row>
    <row r="55" spans="1:18" x14ac:dyDescent="0.3">
      <c r="A55" s="1"/>
      <c r="B55" s="1"/>
    </row>
    <row r="56" spans="1:18" ht="33" x14ac:dyDescent="0.3">
      <c r="A56" s="1"/>
      <c r="B56" s="1"/>
      <c r="G56" s="146" t="s">
        <v>109</v>
      </c>
      <c r="H56" s="17">
        <v>49.61</v>
      </c>
      <c r="I56" s="17">
        <v>19</v>
      </c>
      <c r="J56" s="17">
        <f>H56*I56</f>
        <v>942.59</v>
      </c>
    </row>
    <row r="57" spans="1:18" x14ac:dyDescent="0.3">
      <c r="A57" s="1"/>
      <c r="B57" s="1"/>
      <c r="H57" s="17">
        <v>48.82</v>
      </c>
      <c r="I57" s="17">
        <v>49.6</v>
      </c>
      <c r="J57" s="17">
        <f>H57*I57</f>
        <v>2421.4720000000002</v>
      </c>
    </row>
    <row r="58" spans="1:18" x14ac:dyDescent="0.3">
      <c r="A58" s="1"/>
      <c r="B58" s="1"/>
      <c r="F58" s="34"/>
      <c r="G58" s="34"/>
      <c r="H58" s="147">
        <v>19.87</v>
      </c>
      <c r="I58" s="147">
        <v>23.26</v>
      </c>
      <c r="J58" s="148">
        <f>H58*I58</f>
        <v>462.17620000000005</v>
      </c>
    </row>
    <row r="59" spans="1:18" x14ac:dyDescent="0.3">
      <c r="A59" s="1"/>
      <c r="B59" s="1"/>
      <c r="F59" s="32"/>
      <c r="G59" s="1"/>
      <c r="H59" s="32"/>
      <c r="I59" s="32"/>
      <c r="J59" s="1">
        <f>SUM(J56:J58)</f>
        <v>3826.2382000000002</v>
      </c>
    </row>
    <row r="60" spans="1:18" x14ac:dyDescent="0.3">
      <c r="A60" s="1"/>
      <c r="B60" s="1"/>
      <c r="F60" s="32"/>
      <c r="G60" s="32"/>
      <c r="H60" s="41"/>
      <c r="I60" s="41"/>
    </row>
    <row r="61" spans="1:18" x14ac:dyDescent="0.3">
      <c r="A61" s="1"/>
      <c r="B61" s="1"/>
      <c r="F61" s="32"/>
      <c r="G61" s="32" t="s">
        <v>110</v>
      </c>
      <c r="H61" s="32">
        <v>6</v>
      </c>
      <c r="I61" s="32">
        <v>8</v>
      </c>
      <c r="J61" s="1">
        <f>H61*I61</f>
        <v>48</v>
      </c>
    </row>
    <row r="62" spans="1:18" x14ac:dyDescent="0.3">
      <c r="A62" s="1"/>
      <c r="B62" s="1"/>
      <c r="F62" s="32"/>
      <c r="G62" s="35"/>
      <c r="H62" s="32"/>
      <c r="I62" s="32"/>
    </row>
    <row r="63" spans="1:18" ht="33" x14ac:dyDescent="0.3">
      <c r="A63" s="1"/>
      <c r="B63" s="1"/>
      <c r="F63" s="32"/>
      <c r="G63" s="32" t="s">
        <v>113</v>
      </c>
      <c r="H63" s="32"/>
      <c r="I63" s="32"/>
    </row>
    <row r="64" spans="1:18" x14ac:dyDescent="0.3">
      <c r="A64" s="1"/>
      <c r="B64" s="1"/>
      <c r="F64" s="32"/>
      <c r="G64" s="32" t="s">
        <v>111</v>
      </c>
      <c r="H64" s="32"/>
      <c r="I64" s="32"/>
    </row>
    <row r="65" spans="1:10" x14ac:dyDescent="0.3">
      <c r="A65" s="1"/>
      <c r="B65" s="1"/>
      <c r="F65" s="32"/>
      <c r="G65" s="32" t="s">
        <v>112</v>
      </c>
      <c r="H65" s="32">
        <v>20</v>
      </c>
      <c r="I65" s="32">
        <v>8.8699999999999992</v>
      </c>
      <c r="J65" s="1">
        <f>H65*I65</f>
        <v>177.39999999999998</v>
      </c>
    </row>
    <row r="66" spans="1:10" x14ac:dyDescent="0.3">
      <c r="A66" s="1"/>
      <c r="B66" s="1"/>
      <c r="F66" s="32"/>
      <c r="G66" s="32" t="s">
        <v>103</v>
      </c>
      <c r="H66" s="32">
        <v>17.55</v>
      </c>
      <c r="I66" s="32">
        <v>19.399999999999999</v>
      </c>
      <c r="J66" s="1">
        <f>H66*I66</f>
        <v>340.46999999999997</v>
      </c>
    </row>
    <row r="67" spans="1:10" x14ac:dyDescent="0.3">
      <c r="A67" s="1"/>
      <c r="B67" s="1"/>
      <c r="F67" s="32"/>
      <c r="G67" s="32"/>
      <c r="H67" s="32"/>
      <c r="I67" s="32"/>
    </row>
    <row r="68" spans="1:10" x14ac:dyDescent="0.3">
      <c r="A68" s="1"/>
      <c r="B68" s="1"/>
      <c r="F68" s="32"/>
      <c r="G68" s="32" t="s">
        <v>114</v>
      </c>
      <c r="H68" s="32"/>
      <c r="I68" s="32"/>
    </row>
    <row r="69" spans="1:10" x14ac:dyDescent="0.3">
      <c r="A69" s="1"/>
      <c r="B69" s="1"/>
      <c r="G69" s="149" t="s">
        <v>115</v>
      </c>
      <c r="H69" s="4">
        <v>16.32</v>
      </c>
      <c r="I69" s="4">
        <v>19.440000000000001</v>
      </c>
      <c r="J69" s="1">
        <f>H69*I69</f>
        <v>317.26080000000002</v>
      </c>
    </row>
    <row r="70" spans="1:10" x14ac:dyDescent="0.3">
      <c r="A70" s="1"/>
      <c r="B70" s="1"/>
      <c r="H70" s="4">
        <v>16.8</v>
      </c>
      <c r="I70" s="4">
        <v>19.440000000000001</v>
      </c>
      <c r="J70" s="1">
        <f>H70*I70</f>
        <v>326.59200000000004</v>
      </c>
    </row>
    <row r="71" spans="1:10" x14ac:dyDescent="0.3">
      <c r="A71" s="1"/>
      <c r="B71" s="1"/>
      <c r="G71" s="4" t="s">
        <v>107</v>
      </c>
      <c r="H71" s="4">
        <v>13.86</v>
      </c>
      <c r="I71" s="4">
        <v>15.62</v>
      </c>
      <c r="J71" s="1">
        <f>H71*I71</f>
        <v>216.49319999999997</v>
      </c>
    </row>
    <row r="72" spans="1:10" x14ac:dyDescent="0.3">
      <c r="A72" s="1"/>
      <c r="B72" s="1"/>
      <c r="G72" s="4" t="s">
        <v>108</v>
      </c>
      <c r="H72" s="4">
        <v>7</v>
      </c>
      <c r="I72" s="4">
        <v>4</v>
      </c>
      <c r="J72" s="1">
        <f>H72*I72</f>
        <v>28</v>
      </c>
    </row>
    <row r="73" spans="1:10" x14ac:dyDescent="0.3">
      <c r="A73" s="1"/>
      <c r="B73" s="1"/>
      <c r="G73" s="4" t="s">
        <v>116</v>
      </c>
    </row>
    <row r="74" spans="1:10" x14ac:dyDescent="0.3">
      <c r="A74" s="1"/>
      <c r="B74" s="1"/>
      <c r="F74" s="36"/>
    </row>
    <row r="75" spans="1:10" x14ac:dyDescent="0.3">
      <c r="A75" s="1"/>
      <c r="B75" s="1"/>
      <c r="F75" s="36"/>
    </row>
    <row r="76" spans="1:10" x14ac:dyDescent="0.3">
      <c r="A76" s="1"/>
      <c r="B76" s="1"/>
      <c r="F76" s="36"/>
    </row>
    <row r="77" spans="1:10" x14ac:dyDescent="0.3">
      <c r="A77" s="1"/>
      <c r="B77" s="1"/>
      <c r="F77" s="36"/>
    </row>
    <row r="78" spans="1:10" x14ac:dyDescent="0.3">
      <c r="A78" s="1"/>
      <c r="B78" s="1"/>
      <c r="F78" s="36"/>
    </row>
    <row r="79" spans="1:10" x14ac:dyDescent="0.3">
      <c r="A79" s="1"/>
      <c r="B79" s="1"/>
      <c r="F79" s="36"/>
    </row>
    <row r="80" spans="1:10" x14ac:dyDescent="0.3">
      <c r="A80" s="1"/>
      <c r="B80" s="1"/>
      <c r="F80" s="36"/>
    </row>
    <row r="81" spans="1:6" x14ac:dyDescent="0.3">
      <c r="A81" s="1"/>
      <c r="B81" s="1"/>
      <c r="F81" s="36"/>
    </row>
    <row r="82" spans="1:6" x14ac:dyDescent="0.3">
      <c r="A82" s="1"/>
      <c r="B82" s="1"/>
      <c r="F82" s="36"/>
    </row>
    <row r="83" spans="1:6" x14ac:dyDescent="0.3">
      <c r="A83" s="1"/>
      <c r="B83" s="1"/>
      <c r="F83" s="36"/>
    </row>
    <row r="84" spans="1:6" x14ac:dyDescent="0.3">
      <c r="A84" s="1"/>
      <c r="B84" s="1"/>
    </row>
    <row r="85" spans="1:6" x14ac:dyDescent="0.3">
      <c r="A85" s="1"/>
      <c r="B85" s="1"/>
    </row>
    <row r="86" spans="1:6" x14ac:dyDescent="0.3">
      <c r="A86" s="1"/>
      <c r="B86" s="1"/>
    </row>
    <row r="87" spans="1:6" x14ac:dyDescent="0.3">
      <c r="A87" s="1"/>
      <c r="B87" s="1"/>
    </row>
    <row r="88" spans="1:6" x14ac:dyDescent="0.3">
      <c r="A88" s="1"/>
      <c r="B88" s="1"/>
    </row>
    <row r="89" spans="1:6" x14ac:dyDescent="0.3">
      <c r="A89" s="1"/>
      <c r="B89" s="1"/>
    </row>
    <row r="90" spans="1:6" x14ac:dyDescent="0.3">
      <c r="A90" s="1"/>
      <c r="B90" s="1"/>
    </row>
    <row r="91" spans="1:6" x14ac:dyDescent="0.3">
      <c r="A91" s="1"/>
      <c r="B91" s="1"/>
    </row>
    <row r="92" spans="1:6" x14ac:dyDescent="0.3">
      <c r="A92" s="1"/>
      <c r="B92" s="1"/>
    </row>
    <row r="93" spans="1:6" x14ac:dyDescent="0.3">
      <c r="A93" s="1"/>
      <c r="B93" s="1"/>
    </row>
    <row r="94" spans="1:6" x14ac:dyDescent="0.3">
      <c r="A94" s="1"/>
      <c r="B94" s="1"/>
    </row>
    <row r="95" spans="1:6" x14ac:dyDescent="0.3">
      <c r="A95" s="1"/>
      <c r="B95" s="1"/>
    </row>
    <row r="96" spans="1:6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  <row r="174" spans="1:2" x14ac:dyDescent="0.3">
      <c r="A174" s="1"/>
      <c r="B174" s="1"/>
    </row>
  </sheetData>
  <mergeCells count="5">
    <mergeCell ref="B21:C21"/>
    <mergeCell ref="B26:C26"/>
    <mergeCell ref="P36:P37"/>
    <mergeCell ref="Q36:Q37"/>
    <mergeCell ref="O45:P4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A8:AC16"/>
  <sheetViews>
    <sheetView topLeftCell="B1" workbookViewId="0">
      <selection activeCell="Q31" sqref="Q31"/>
    </sheetView>
  </sheetViews>
  <sheetFormatPr defaultRowHeight="15" x14ac:dyDescent="0.25"/>
  <cols>
    <col min="1" max="1" width="5.85546875" customWidth="1"/>
    <col min="2" max="2" width="10.42578125" bestFit="1" customWidth="1"/>
    <col min="3" max="3" width="11.85546875" customWidth="1"/>
    <col min="4" max="5" width="11.5703125" bestFit="1" customWidth="1"/>
    <col min="17" max="17" width="10" bestFit="1" customWidth="1"/>
  </cols>
  <sheetData>
    <row r="8" spans="1:29" ht="30" x14ac:dyDescent="0.25">
      <c r="A8" s="89" t="s">
        <v>35</v>
      </c>
      <c r="B8" s="89" t="s">
        <v>37</v>
      </c>
      <c r="C8" s="90" t="s">
        <v>34</v>
      </c>
      <c r="D8" s="89" t="s">
        <v>47</v>
      </c>
      <c r="E8" s="89" t="s">
        <v>36</v>
      </c>
    </row>
    <row r="9" spans="1:29" x14ac:dyDescent="0.25">
      <c r="A9" s="84">
        <v>1</v>
      </c>
      <c r="B9" s="84" t="s">
        <v>38</v>
      </c>
      <c r="C9" s="84">
        <v>8</v>
      </c>
      <c r="D9" s="84">
        <f>C9*100</f>
        <v>800</v>
      </c>
      <c r="E9" s="85">
        <f>D9*10.764</f>
        <v>8611.1999999999989</v>
      </c>
    </row>
    <row r="10" spans="1:29" x14ac:dyDescent="0.25">
      <c r="A10" s="84">
        <v>2</v>
      </c>
      <c r="B10" s="86" t="s">
        <v>39</v>
      </c>
      <c r="C10" s="84">
        <v>88.2</v>
      </c>
      <c r="D10" s="84">
        <f t="shared" ref="D10:D15" si="0">C10*100</f>
        <v>8820</v>
      </c>
      <c r="E10" s="85">
        <f t="shared" ref="E10:E16" si="1">D10*10.764</f>
        <v>94938.48</v>
      </c>
    </row>
    <row r="11" spans="1:29" x14ac:dyDescent="0.25">
      <c r="A11" s="84">
        <v>3</v>
      </c>
      <c r="B11" s="84" t="s">
        <v>40</v>
      </c>
      <c r="C11" s="84">
        <v>88</v>
      </c>
      <c r="D11" s="84">
        <f t="shared" si="0"/>
        <v>8800</v>
      </c>
      <c r="E11" s="85">
        <f t="shared" si="1"/>
        <v>94723.199999999997</v>
      </c>
    </row>
    <row r="12" spans="1:29" x14ac:dyDescent="0.25">
      <c r="A12" s="84">
        <v>4</v>
      </c>
      <c r="B12" s="84" t="s">
        <v>41</v>
      </c>
      <c r="C12" s="84">
        <v>158.80000000000001</v>
      </c>
      <c r="D12" s="84">
        <f t="shared" si="0"/>
        <v>15880.000000000002</v>
      </c>
      <c r="E12" s="85">
        <f t="shared" si="1"/>
        <v>170932.32</v>
      </c>
      <c r="Q12" s="80">
        <f>232000000/56655</f>
        <v>4094.9607272085427</v>
      </c>
      <c r="R12" s="81" t="s">
        <v>33</v>
      </c>
    </row>
    <row r="13" spans="1:29" x14ac:dyDescent="0.25">
      <c r="A13" s="84">
        <v>5</v>
      </c>
      <c r="B13" s="84" t="s">
        <v>42</v>
      </c>
      <c r="C13" s="84">
        <v>68.8</v>
      </c>
      <c r="D13" s="84">
        <f t="shared" si="0"/>
        <v>6880</v>
      </c>
      <c r="E13" s="85">
        <f t="shared" si="1"/>
        <v>74056.319999999992</v>
      </c>
      <c r="AB13" s="81">
        <f>40000000/8102.23</f>
        <v>4936.9124302815399</v>
      </c>
      <c r="AC13" s="81" t="s">
        <v>33</v>
      </c>
    </row>
    <row r="14" spans="1:29" x14ac:dyDescent="0.25">
      <c r="A14" s="84">
        <v>6</v>
      </c>
      <c r="B14" s="84" t="s">
        <v>43</v>
      </c>
      <c r="C14" s="84">
        <v>30</v>
      </c>
      <c r="D14" s="84">
        <f t="shared" si="0"/>
        <v>3000</v>
      </c>
      <c r="E14" s="85">
        <f t="shared" si="1"/>
        <v>32291.999999999996</v>
      </c>
    </row>
    <row r="15" spans="1:29" x14ac:dyDescent="0.25">
      <c r="A15" s="84">
        <v>7</v>
      </c>
      <c r="B15" s="84" t="s">
        <v>44</v>
      </c>
      <c r="C15" s="84">
        <v>1</v>
      </c>
      <c r="D15" s="84">
        <f t="shared" si="0"/>
        <v>100</v>
      </c>
      <c r="E15" s="85">
        <f t="shared" si="1"/>
        <v>1076.3999999999999</v>
      </c>
    </row>
    <row r="16" spans="1:29" x14ac:dyDescent="0.25">
      <c r="A16" s="160" t="s">
        <v>45</v>
      </c>
      <c r="B16" s="161"/>
      <c r="C16" s="87">
        <f>SUM(C9:C15)</f>
        <v>442.8</v>
      </c>
      <c r="D16" s="87">
        <f>SUM(D9:D15)</f>
        <v>44280</v>
      </c>
      <c r="E16" s="88">
        <f t="shared" si="1"/>
        <v>476629.92</v>
      </c>
    </row>
  </sheetData>
  <mergeCells count="1">
    <mergeCell ref="A16:B1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L10:Y11"/>
  <sheetViews>
    <sheetView workbookViewId="0">
      <selection activeCell="M15" sqref="M15"/>
    </sheetView>
  </sheetViews>
  <sheetFormatPr defaultRowHeight="15" x14ac:dyDescent="0.25"/>
  <cols>
    <col min="18" max="18" width="14.5703125" customWidth="1"/>
  </cols>
  <sheetData>
    <row r="10" spans="12:25" x14ac:dyDescent="0.25">
      <c r="X10" s="81">
        <f>350000000/93111.52</f>
        <v>3758.9333736577382</v>
      </c>
      <c r="Y10" s="81" t="s">
        <v>29</v>
      </c>
    </row>
    <row r="11" spans="12:25" x14ac:dyDescent="0.25">
      <c r="L11" s="81">
        <f>33600000/5667.66</f>
        <v>5928.3725558696187</v>
      </c>
      <c r="M11" s="81" t="s">
        <v>29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Previous Vastukala</vt:lpstr>
      <vt:lpstr>Final - Vastukala</vt:lpstr>
      <vt:lpstr>Yogesh</vt:lpstr>
      <vt:lpstr>Sheet1</vt:lpstr>
      <vt:lpstr>Sheet2</vt:lpstr>
      <vt:lpstr>'Final - Vastukala'!_Hlk170490742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2024-07-04T08:31:31Z</dcterms:modified>
</cp:coreProperties>
</file>