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Nepal House\Santosh Kumar\"/>
    </mc:Choice>
  </mc:AlternateContent>
  <xr:revisionPtr revIDLastSave="0" documentId="13_ncr:1_{DBC5481B-1E00-4F94-8FF0-164F1567354D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Calculation" sheetId="23" r:id="rId2"/>
    <sheet name="22-23" sheetId="4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</sheets>
  <calcPr calcId="191029"/>
</workbook>
</file>

<file path=xl/calcChain.xml><?xml version="1.0" encoding="utf-8"?>
<calcChain xmlns="http://schemas.openxmlformats.org/spreadsheetml/2006/main">
  <c r="E4" i="23" l="1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C3" i="4"/>
  <c r="C4" i="4"/>
  <c r="C5" i="4"/>
  <c r="C2" i="4"/>
  <c r="G32" i="4" l="1"/>
  <c r="I31" i="4"/>
  <c r="H31" i="4"/>
  <c r="G33" i="4"/>
  <c r="G34" i="4"/>
  <c r="G29" i="4"/>
  <c r="D32" i="4"/>
  <c r="Q2" i="4" l="1"/>
  <c r="C5" i="25" l="1"/>
  <c r="C4" i="25"/>
  <c r="C3" i="25"/>
  <c r="P2" i="4"/>
  <c r="P3" i="4"/>
  <c r="B3" i="4" s="1"/>
  <c r="D3" i="4" s="1"/>
  <c r="P4" i="4"/>
  <c r="P5" i="4"/>
  <c r="P6" i="4"/>
  <c r="B6" i="4"/>
  <c r="C6" i="4" s="1"/>
  <c r="P7" i="4"/>
  <c r="B7" i="4" s="1"/>
  <c r="P8" i="4"/>
  <c r="P9" i="4"/>
  <c r="B9" i="4" s="1"/>
  <c r="P10" i="4"/>
  <c r="B10" i="4"/>
  <c r="C10" i="4" s="1"/>
  <c r="P17" i="4"/>
  <c r="J17" i="4"/>
  <c r="I17" i="4"/>
  <c r="B15" i="4"/>
  <c r="P15" i="4"/>
  <c r="J15" i="4"/>
  <c r="I15" i="4"/>
  <c r="P14" i="4"/>
  <c r="B14" i="4" s="1"/>
  <c r="C14" i="4" s="1"/>
  <c r="J14" i="4"/>
  <c r="I14" i="4"/>
  <c r="P13" i="4"/>
  <c r="B13" i="4" s="1"/>
  <c r="J13" i="4"/>
  <c r="I13" i="4"/>
  <c r="P12" i="4"/>
  <c r="B12" i="4" s="1"/>
  <c r="J12" i="4"/>
  <c r="I12" i="4"/>
  <c r="B11" i="4"/>
  <c r="P11" i="4"/>
  <c r="J11" i="4"/>
  <c r="I11" i="4"/>
  <c r="J10" i="4"/>
  <c r="I10" i="4"/>
  <c r="J9" i="4"/>
  <c r="I9" i="4"/>
  <c r="B8" i="4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P20" i="4"/>
  <c r="J20" i="4"/>
  <c r="I20" i="4"/>
  <c r="E20" i="4"/>
  <c r="B20" i="4"/>
  <c r="P16" i="4"/>
  <c r="B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D16" i="4" l="1"/>
  <c r="C16" i="4"/>
  <c r="D12" i="4"/>
  <c r="H12" i="4" s="1"/>
  <c r="C12" i="4"/>
  <c r="C20" i="4"/>
  <c r="D20" i="4" s="1"/>
  <c r="H20" i="4" s="1"/>
  <c r="C8" i="4"/>
  <c r="D8" i="4" s="1"/>
  <c r="H8" i="4" s="1"/>
  <c r="C11" i="4"/>
  <c r="G11" i="4" s="1"/>
  <c r="D9" i="4"/>
  <c r="H9" i="4" s="1"/>
  <c r="C9" i="4"/>
  <c r="D15" i="4"/>
  <c r="H15" i="4" s="1"/>
  <c r="C15" i="4"/>
  <c r="G15" i="4" s="1"/>
  <c r="D7" i="4"/>
  <c r="H7" i="4" s="1"/>
  <c r="C7" i="4"/>
  <c r="G7" i="4" s="1"/>
  <c r="D13" i="4"/>
  <c r="H13" i="4" s="1"/>
  <c r="C13" i="4"/>
  <c r="H4" i="4"/>
  <c r="F10" i="4"/>
  <c r="F6" i="4"/>
  <c r="G3" i="4"/>
  <c r="H3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H16" i="4"/>
  <c r="F3" i="4"/>
  <c r="G4" i="4"/>
  <c r="F7" i="4"/>
  <c r="F11" i="4"/>
  <c r="G12" i="4"/>
  <c r="F15" i="4"/>
  <c r="C13" i="25"/>
  <c r="D13" i="25" s="1"/>
  <c r="C8" i="25" s="1"/>
  <c r="B5" i="4"/>
  <c r="F20" i="4"/>
  <c r="G20" i="4"/>
  <c r="F16" i="4"/>
  <c r="G16" i="4"/>
  <c r="C7" i="25"/>
  <c r="E5" i="25"/>
  <c r="E17" i="25"/>
  <c r="C19" i="25"/>
  <c r="C21" i="25" s="1"/>
  <c r="E21" i="25" s="1"/>
  <c r="G8" i="4" l="1"/>
  <c r="D11" i="4"/>
  <c r="H11" i="4" s="1"/>
  <c r="C9" i="25"/>
  <c r="E9" i="25" s="1"/>
  <c r="F5" i="4"/>
  <c r="D5" i="4" l="1"/>
  <c r="H5" i="4" s="1"/>
  <c r="G5" i="4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E20" i="23" s="1"/>
  <c r="C21" i="23"/>
  <c r="P21" i="4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B19" i="4"/>
  <c r="C19" i="4" s="1"/>
  <c r="B18" i="4"/>
  <c r="C18" i="4" s="1"/>
  <c r="B21" i="4"/>
  <c r="C21" i="4" s="1"/>
  <c r="F17" i="4" l="1"/>
  <c r="C17" i="4"/>
  <c r="G17" i="4" s="1"/>
  <c r="G21" i="4"/>
  <c r="F21" i="4"/>
  <c r="G19" i="4"/>
  <c r="F19" i="4"/>
  <c r="G18" i="4"/>
  <c r="F18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<sst xmlns="http://schemas.openxmlformats.org/spreadsheetml/2006/main" count="102" uniqueCount="88">
  <si>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</si>
  <si>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</si>
  <si>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</si>
  <si>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</si>
  <si>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</si>
  <si>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</si>
  <si>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</si>
  <si>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</si>
  <si>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</si>
  <si>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</si>
  <si>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</si>
  <si>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</si>
  <si>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</si>
  <si>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</si>
  <si>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</si>
  <si>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</si>
  <si>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</si>
  <si>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</si>
  <si>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</si>
  <si>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</si>
  <si>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</si>
  <si>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</si>
  <si>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</si>
  <si>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</si>
  <si>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</si>
  <si>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</si>
  <si>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</si>
  <si>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</si>
  <si>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</si>
  <si>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</si>
  <si>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</si>
  <si>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</si>
  <si>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</si>
  <si>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</si>
  <si>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</si>
  <si>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</si>
  <si>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</si>
  <si>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</si>
  <si>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</si>
  <si>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</si>
  <si>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</si>
  <si>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</si>
  <si>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</si>
  <si>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</si>
  <si>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</si>
  <si>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</si>
  <si>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</si>
  <si>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</si>
  <si>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</si>
  <si>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</si>
  <si>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</si>
  <si>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</si>
  <si>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</si>
  <si>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</si>
  <si>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</si>
  <si>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</si>
  <si>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</si>
  <si>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</si>
  <si>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</si>
  <si>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</si>
  <si>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</si>
  <si>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</si>
  <si>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</si>
  <si>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</si>
  <si>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</si>
  <si>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</si>
  <si>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</si>
  <si>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</si>
  <si>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</si>
  <si>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</si>
  <si>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</si>
  <si>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</si>
  <si>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</si>
  <si>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</si>
  <si>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IGR-13.05.24</t>
  </si>
  <si>
    <t>IGR-10.05.24</t>
  </si>
  <si>
    <t xml:space="preserve"> Flat No. 3409, 34th Floor, Wing - 2B, Siddha Sky Phase 3, Village - Sion, Sion,</t>
  </si>
  <si>
    <t>19.03.2024</t>
  </si>
  <si>
    <t>av</t>
  </si>
  <si>
    <t>rd</t>
  </si>
  <si>
    <t>sd</t>
  </si>
  <si>
    <t>aca</t>
  </si>
  <si>
    <t>encl bal</t>
  </si>
  <si>
    <t>total</t>
  </si>
  <si>
    <t>bua</t>
  </si>
  <si>
    <t>Rate on ca</t>
  </si>
  <si>
    <t>24000 on rera ca</t>
  </si>
  <si>
    <t>State Bank Of India ( Nepal House Branch )  - Santosh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</si>
</sst>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3" xfId="0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0" fontId="0" fillId="0" borderId="5" xfId="0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6" fillId="2" borderId="0" xfId="0" applyFont="1" applyFill="1"/>
    <xf numFmtId="43" fontId="6" fillId="0" borderId="0" xfId="0" applyNumberFormat="1" applyFont="1"/>
    <xf numFmtId="43" fontId="0" fillId="0" borderId="5" xfId="0" applyNumberFormat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4" fillId="0" borderId="8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0" fillId="0" borderId="9" xfId="0" applyBorder="1"/>
    <xf numFmtId="0" fontId="2" fillId="0" borderId="9" xfId="0" applyFont="1" applyBorder="1"/>
    <xf numFmtId="43" fontId="0" fillId="0" borderId="9" xfId="1" applyFont="1" applyBorder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3" fillId="0" borderId="9" xfId="1" applyFont="1" applyBorder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42</xdr:row>
      <xdr:rowOff>96343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8A0974-9DD8-48D3-86DE-79308F2A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7830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567FC-DEE6-4381-9C4E-A9400C6C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364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9DF24-FC3E-4D71-A792-46D6C5D6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F01D10-9164-4A05-80C2-E0AD2194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487204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E5845-5F4E-4096-8903-814B4218B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40804" cy="8545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296678</xdr:colOff>
      <xdr:row>48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FDF103-9F20-40B5-8D83-4A2BF5BC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050278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315730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B1383F-5550-472B-B8AC-4E96F6EF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69330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25" sqref="H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66</v>
      </c>
      <c r="C3" s="43">
        <f>374860*0.85</f>
        <v>318631</v>
      </c>
      <c r="D3" s="41"/>
      <c r="E3" s="41"/>
      <c r="F3" s="41"/>
      <c r="H3" s="44" t="s">
        <v>29</v>
      </c>
      <c r="I3" s="44"/>
      <c r="J3" s="44" t="s">
        <v>30</v>
      </c>
      <c r="K3" s="44" t="s">
        <v>31</v>
      </c>
      <c r="L3" s="44" t="s">
        <v>32</v>
      </c>
    </row>
    <row r="4" spans="2:12" x14ac:dyDescent="0.25">
      <c r="B4" s="41" t="s">
        <v>72</v>
      </c>
      <c r="C4" s="43">
        <f>C3*10%</f>
        <v>31863.100000000002</v>
      </c>
      <c r="D4" s="41"/>
      <c r="E4" s="41"/>
      <c r="F4" s="41"/>
      <c r="H4" s="45" t="s">
        <v>33</v>
      </c>
      <c r="I4" s="41" t="s">
        <v>34</v>
      </c>
      <c r="J4" s="41" t="s">
        <v>35</v>
      </c>
      <c r="K4" s="41">
        <v>2554.8123374210331</v>
      </c>
      <c r="L4" s="41">
        <v>2248.2348569305091</v>
      </c>
    </row>
    <row r="5" spans="2:12" x14ac:dyDescent="0.25">
      <c r="B5" s="41" t="s">
        <v>67</v>
      </c>
      <c r="C5" s="46">
        <f>C3+C4</f>
        <v>350494.1</v>
      </c>
      <c r="D5" s="47" t="s">
        <v>54</v>
      </c>
      <c r="E5" s="48">
        <f>C5/10.764</f>
        <v>32561.696395392046</v>
      </c>
      <c r="F5" s="47" t="s">
        <v>55</v>
      </c>
      <c r="H5" s="49" t="s">
        <v>36</v>
      </c>
      <c r="I5" s="45">
        <v>0.95</v>
      </c>
      <c r="J5" s="41"/>
      <c r="K5" s="41" t="s">
        <v>37</v>
      </c>
      <c r="L5" s="41" t="s">
        <v>34</v>
      </c>
    </row>
    <row r="6" spans="2:12" x14ac:dyDescent="0.25">
      <c r="B6" s="41" t="s">
        <v>68</v>
      </c>
      <c r="C6" s="43">
        <v>29400</v>
      </c>
      <c r="D6" s="41"/>
      <c r="E6" s="41"/>
      <c r="F6" s="41"/>
      <c r="H6" s="50" t="s">
        <v>38</v>
      </c>
      <c r="I6" s="45">
        <v>0.9</v>
      </c>
      <c r="J6" s="41" t="s">
        <v>39</v>
      </c>
      <c r="K6" s="41" t="s">
        <v>40</v>
      </c>
      <c r="L6" s="41" t="s">
        <v>41</v>
      </c>
    </row>
    <row r="7" spans="2:12" x14ac:dyDescent="0.25">
      <c r="B7" s="41" t="s">
        <v>69</v>
      </c>
      <c r="C7" s="43">
        <f>C5-C6</f>
        <v>321094.09999999998</v>
      </c>
      <c r="D7" s="41"/>
      <c r="E7" s="41"/>
      <c r="F7" s="41"/>
      <c r="H7" s="49" t="s">
        <v>42</v>
      </c>
      <c r="I7" s="45">
        <v>0.8</v>
      </c>
      <c r="J7" s="41"/>
      <c r="K7" s="49" t="s">
        <v>38</v>
      </c>
      <c r="L7" s="45">
        <v>0.05</v>
      </c>
    </row>
    <row r="8" spans="2:12" ht="30" x14ac:dyDescent="0.25">
      <c r="B8" s="51" t="s">
        <v>70</v>
      </c>
      <c r="C8" s="43">
        <f>C7*D13%</f>
        <v>321094.09999999998</v>
      </c>
      <c r="D8" s="41"/>
      <c r="E8" s="41"/>
      <c r="F8" s="41"/>
      <c r="H8" s="49" t="s">
        <v>43</v>
      </c>
      <c r="I8" s="45">
        <v>0.7</v>
      </c>
      <c r="J8" s="41"/>
      <c r="K8" s="52" t="s">
        <v>44</v>
      </c>
      <c r="L8" s="45">
        <v>0.1</v>
      </c>
    </row>
    <row r="9" spans="2:12" x14ac:dyDescent="0.25">
      <c r="B9" s="41" t="s">
        <v>71</v>
      </c>
      <c r="C9" s="46">
        <f>C6+C8</f>
        <v>350494.1</v>
      </c>
      <c r="D9" s="47" t="s">
        <v>54</v>
      </c>
      <c r="E9" s="48">
        <f>C9/10.764</f>
        <v>32561.696395392046</v>
      </c>
      <c r="F9" s="47" t="s">
        <v>55</v>
      </c>
      <c r="H9" s="49" t="s">
        <v>45</v>
      </c>
      <c r="I9" s="45">
        <v>0.6</v>
      </c>
      <c r="J9" s="41"/>
      <c r="K9" s="41" t="s">
        <v>46</v>
      </c>
      <c r="L9" s="45">
        <v>0.15</v>
      </c>
    </row>
    <row r="10" spans="2:12" x14ac:dyDescent="0.25">
      <c r="C10" s="53"/>
      <c r="H10" s="41" t="s">
        <v>47</v>
      </c>
      <c r="I10" s="45">
        <v>0.5</v>
      </c>
      <c r="J10" s="41"/>
      <c r="K10" s="41" t="s">
        <v>48</v>
      </c>
      <c r="L10" s="45">
        <v>0.2</v>
      </c>
    </row>
    <row r="11" spans="2:12" x14ac:dyDescent="0.25">
      <c r="B11" s="42" t="s">
        <v>60</v>
      </c>
      <c r="C11" s="55">
        <f>Calculation!D7</f>
        <v>2024</v>
      </c>
      <c r="H11" s="41" t="s">
        <v>49</v>
      </c>
      <c r="I11" s="45">
        <v>0.4</v>
      </c>
      <c r="J11" s="41"/>
      <c r="K11" s="41"/>
      <c r="L11" s="41"/>
    </row>
    <row r="12" spans="2:12" x14ac:dyDescent="0.25">
      <c r="B12" s="42" t="s">
        <v>61</v>
      </c>
      <c r="C12" s="55">
        <f>Calculation!D8</f>
        <v>2024</v>
      </c>
      <c r="D12" s="54">
        <v>100</v>
      </c>
      <c r="H12" s="41" t="s">
        <v>50</v>
      </c>
      <c r="I12" s="45">
        <v>0.3</v>
      </c>
      <c r="J12" s="41"/>
      <c r="K12" s="41"/>
      <c r="L12" s="41"/>
    </row>
    <row r="13" spans="2:12" x14ac:dyDescent="0.25">
      <c r="B13" s="42" t="s">
        <v>62</v>
      </c>
      <c r="C13" s="55">
        <f>C11-C12</f>
        <v>0</v>
      </c>
      <c r="D13" s="54">
        <f>D12-C13</f>
        <v>100</v>
      </c>
    </row>
    <row r="15" spans="2:12" x14ac:dyDescent="0.25">
      <c r="B15" s="41" t="s">
        <v>51</v>
      </c>
      <c r="C15" s="43">
        <v>93700</v>
      </c>
      <c r="D15" s="41"/>
      <c r="E15" s="41"/>
      <c r="F15" s="41"/>
    </row>
    <row r="16" spans="2:12" x14ac:dyDescent="0.25">
      <c r="B16" s="41" t="s">
        <v>52</v>
      </c>
      <c r="C16" s="43">
        <f>C15*5%</f>
        <v>4685</v>
      </c>
      <c r="D16" s="41"/>
      <c r="E16" s="41"/>
      <c r="F16" s="41"/>
    </row>
    <row r="17" spans="2:6" x14ac:dyDescent="0.25">
      <c r="B17" s="41" t="s">
        <v>53</v>
      </c>
      <c r="C17" s="46">
        <f>C15+C16</f>
        <v>98385</v>
      </c>
      <c r="D17" s="47" t="s">
        <v>54</v>
      </c>
      <c r="E17" s="48">
        <f>C17/10.764</f>
        <v>9140.1895206243044</v>
      </c>
      <c r="F17" s="47" t="s">
        <v>55</v>
      </c>
    </row>
    <row r="18" spans="2:6" x14ac:dyDescent="0.25">
      <c r="B18" s="41" t="s">
        <v>57</v>
      </c>
      <c r="C18" s="43">
        <v>26620</v>
      </c>
      <c r="D18" s="41"/>
      <c r="E18" s="41"/>
      <c r="F18" s="41"/>
    </row>
    <row r="19" spans="2:6" x14ac:dyDescent="0.25">
      <c r="B19" s="41" t="s">
        <v>58</v>
      </c>
      <c r="C19" s="43">
        <f>C17-C18</f>
        <v>71765</v>
      </c>
      <c r="D19" s="41"/>
      <c r="E19" s="41"/>
      <c r="F19" s="41"/>
    </row>
    <row r="20" spans="2:6" ht="45" x14ac:dyDescent="0.25">
      <c r="B20" s="51" t="s">
        <v>59</v>
      </c>
      <c r="C20" s="43">
        <f>C18*80%</f>
        <v>21296</v>
      </c>
      <c r="D20" s="41"/>
      <c r="E20" s="41"/>
      <c r="F20" s="41"/>
    </row>
    <row r="21" spans="2:6" x14ac:dyDescent="0.25">
      <c r="B21" s="41" t="s">
        <v>56</v>
      </c>
      <c r="C21" s="46">
        <f>C19+C20</f>
        <v>93061</v>
      </c>
      <c r="D21" s="47" t="s">
        <v>54</v>
      </c>
      <c r="E21" s="48">
        <f>C21/10.764</f>
        <v>8645.5778520995918</v>
      </c>
      <c r="F21" s="47" t="s">
        <v>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17" sqref="J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27700</v>
      </c>
      <c r="D3" s="23" t="s">
        <v>65</v>
      </c>
      <c r="E3" s="6" t="s">
        <v>73</v>
      </c>
      <c r="F3" s="18"/>
    </row>
    <row r="4" spans="1:6" ht="30" x14ac:dyDescent="0.25">
      <c r="A4" s="22" t="s">
        <v>14</v>
      </c>
      <c r="B4" s="19"/>
      <c r="C4" s="20">
        <v>3000</v>
      </c>
      <c r="D4" s="23"/>
      <c r="E4">
        <f>2500*1.2</f>
        <v>3000</v>
      </c>
      <c r="F4" s="18"/>
    </row>
    <row r="5" spans="1:6" x14ac:dyDescent="0.25">
      <c r="A5" s="15" t="s">
        <v>15</v>
      </c>
      <c r="B5" s="19"/>
      <c r="C5" s="20">
        <f>C3-C4</f>
        <v>24700</v>
      </c>
      <c r="D5" s="23"/>
      <c r="F5" s="18"/>
    </row>
    <row r="6" spans="1:6" x14ac:dyDescent="0.25">
      <c r="A6" s="15" t="s">
        <v>16</v>
      </c>
      <c r="B6" s="19"/>
      <c r="C6" s="20">
        <f>C4</f>
        <v>3000</v>
      </c>
      <c r="D6" s="23"/>
      <c r="F6" s="18"/>
    </row>
    <row r="7" spans="1:6" x14ac:dyDescent="0.25">
      <c r="A7" s="15" t="s">
        <v>17</v>
      </c>
      <c r="B7" s="24"/>
      <c r="C7" s="25">
        <f>D7-D8</f>
        <v>0</v>
      </c>
      <c r="D7" s="25">
        <v>2024</v>
      </c>
      <c r="F7" s="18"/>
    </row>
    <row r="8" spans="1:6" x14ac:dyDescent="0.25">
      <c r="A8" s="15" t="s">
        <v>18</v>
      </c>
      <c r="B8" s="24"/>
      <c r="C8" s="25">
        <f>C9-C7</f>
        <v>60</v>
      </c>
      <c r="D8" s="25">
        <v>2024</v>
      </c>
      <c r="F8" s="18"/>
    </row>
    <row r="9" spans="1:6" x14ac:dyDescent="0.25">
      <c r="A9" s="15" t="s">
        <v>19</v>
      </c>
      <c r="B9" s="24"/>
      <c r="C9" s="25">
        <v>60</v>
      </c>
      <c r="D9" s="25"/>
      <c r="F9" s="18"/>
    </row>
    <row r="10" spans="1:6" ht="30" x14ac:dyDescent="0.25">
      <c r="A10" s="22" t="s">
        <v>20</v>
      </c>
      <c r="B10" s="24"/>
      <c r="C10" s="25">
        <f>90*C7/C9</f>
        <v>0</v>
      </c>
      <c r="D10" s="25"/>
      <c r="F10" s="18"/>
    </row>
    <row r="11" spans="1:6" x14ac:dyDescent="0.25">
      <c r="A11" s="15"/>
      <c r="B11" s="26"/>
      <c r="C11" s="27">
        <f>C10%</f>
        <v>0</v>
      </c>
      <c r="D11" s="27"/>
      <c r="F11" s="18"/>
    </row>
    <row r="12" spans="1:6" x14ac:dyDescent="0.25">
      <c r="A12" s="15" t="s">
        <v>21</v>
      </c>
      <c r="B12" s="19"/>
      <c r="C12" s="20">
        <f>C6*C11</f>
        <v>0</v>
      </c>
      <c r="D12" s="18"/>
    </row>
    <row r="13" spans="1:6" x14ac:dyDescent="0.25">
      <c r="A13" s="15" t="s">
        <v>22</v>
      </c>
      <c r="B13" s="19"/>
      <c r="C13" s="20">
        <f>C6-C12</f>
        <v>3000</v>
      </c>
      <c r="D13" s="18"/>
    </row>
    <row r="14" spans="1:6" x14ac:dyDescent="0.25">
      <c r="A14" s="15" t="s">
        <v>15</v>
      </c>
      <c r="B14" s="19"/>
      <c r="C14" s="20">
        <f>C5</f>
        <v>24700</v>
      </c>
      <c r="D14" s="18"/>
    </row>
    <row r="15" spans="1:6" x14ac:dyDescent="0.25">
      <c r="B15" s="19"/>
      <c r="C15" s="20"/>
      <c r="D15" s="18"/>
    </row>
    <row r="16" spans="1:6" x14ac:dyDescent="0.25">
      <c r="A16" s="28" t="s">
        <v>23</v>
      </c>
      <c r="B16" s="29"/>
      <c r="C16" s="21">
        <f>C14+C13</f>
        <v>27700</v>
      </c>
      <c r="D16" s="18"/>
    </row>
    <row r="17" spans="1:5" x14ac:dyDescent="0.25">
      <c r="B17" s="24"/>
      <c r="C17" s="25"/>
      <c r="D17" s="18"/>
    </row>
    <row r="18" spans="1:5" x14ac:dyDescent="0.25">
      <c r="A18" s="60" t="str">
        <f>E3</f>
        <v>ACA</v>
      </c>
      <c r="B18" s="7"/>
      <c r="C18" s="30">
        <v>644</v>
      </c>
      <c r="D18" s="18"/>
    </row>
    <row r="19" spans="1:5" x14ac:dyDescent="0.25">
      <c r="A19" s="15" t="s">
        <v>63</v>
      </c>
      <c r="B19" s="6"/>
      <c r="C19" s="31">
        <f>C18*C16</f>
        <v>17838800</v>
      </c>
      <c r="D19" s="32"/>
    </row>
    <row r="20" spans="1:5" x14ac:dyDescent="0.25">
      <c r="A20" s="15" t="s">
        <v>24</v>
      </c>
      <c r="C20" s="33">
        <f>C19*90%</f>
        <v>16054920</v>
      </c>
      <c r="D20" s="18"/>
      <c r="E20" s="54">
        <f>C20*75%</f>
        <v>12041190</v>
      </c>
    </row>
    <row r="21" spans="1:5" x14ac:dyDescent="0.25">
      <c r="A21" s="15" t="s">
        <v>25</v>
      </c>
      <c r="C21" s="33">
        <f>C19*80%</f>
        <v>14271040</v>
      </c>
      <c r="D21" s="18"/>
    </row>
    <row r="22" spans="1:5" x14ac:dyDescent="0.25">
      <c r="A22" s="15"/>
      <c r="D22" s="34"/>
    </row>
    <row r="23" spans="1:5" x14ac:dyDescent="0.25">
      <c r="A23" s="35" t="s">
        <v>26</v>
      </c>
      <c r="B23" s="36"/>
      <c r="C23" s="37">
        <f>C4*C18</f>
        <v>1932000</v>
      </c>
      <c r="D23"/>
    </row>
    <row r="24" spans="1:5" x14ac:dyDescent="0.25">
      <c r="A24" s="15" t="s">
        <v>27</v>
      </c>
      <c r="D24"/>
    </row>
    <row r="25" spans="1:5" x14ac:dyDescent="0.25">
      <c r="A25" s="38" t="s">
        <v>28</v>
      </c>
      <c r="B25" s="16"/>
      <c r="C25" s="33">
        <f>C19*0.025/12</f>
        <v>37164.166666666664</v>
      </c>
      <c r="D25"/>
    </row>
    <row r="26" spans="1:5" x14ac:dyDescent="0.25">
      <c r="C26" s="33"/>
      <c r="D26"/>
    </row>
    <row r="27" spans="1:5" x14ac:dyDescent="0.25">
      <c r="A27" s="6" t="s">
        <v>87</v>
      </c>
      <c r="C27" s="33"/>
      <c r="D27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717</v>
      </c>
      <c r="C2" s="4">
        <f>B2*1.1</f>
        <v>788.7</v>
      </c>
      <c r="D2" s="4">
        <f t="shared" ref="D2:D16" si="1">C2*1.2</f>
        <v>946.44</v>
      </c>
      <c r="E2" s="5">
        <f t="shared" ref="E2:E16" si="2">R2</f>
        <v>19407039</v>
      </c>
      <c r="F2" s="61">
        <f t="shared" ref="F2:F15" si="3">ROUND((E2/B2),0)</f>
        <v>27067</v>
      </c>
      <c r="G2" s="64">
        <f t="shared" ref="G2:G15" si="4">ROUND((E2/C2),0)</f>
        <v>24606</v>
      </c>
      <c r="H2" s="64">
        <f t="shared" ref="H2:H15" si="5">ROUND((E2/D2),0)</f>
        <v>20505</v>
      </c>
      <c r="I2" s="61">
        <f t="shared" ref="I2:I15" si="6">T2</f>
        <v>0</v>
      </c>
      <c r="J2" s="61">
        <f t="shared" ref="J2:J15" si="7">U2</f>
        <v>0</v>
      </c>
      <c r="K2" s="7"/>
      <c r="L2" s="7"/>
      <c r="M2" s="7"/>
      <c r="N2" s="7"/>
      <c r="O2" s="7">
        <v>0</v>
      </c>
      <c r="P2" s="7">
        <f t="shared" ref="P2:P10" si="8">O2/1.2</f>
        <v>0</v>
      </c>
      <c r="Q2" s="7">
        <f>677+40</f>
        <v>717</v>
      </c>
      <c r="R2" s="62">
        <v>19407039</v>
      </c>
      <c r="S2" s="2" t="s">
        <v>74</v>
      </c>
    </row>
    <row r="3" spans="1:19" x14ac:dyDescent="0.25">
      <c r="A3" s="4">
        <v>2</v>
      </c>
      <c r="B3" s="4">
        <f t="shared" si="0"/>
        <v>717</v>
      </c>
      <c r="C3" s="4">
        <f t="shared" ref="C3:C21" si="9">B3*1.1</f>
        <v>788.7</v>
      </c>
      <c r="D3" s="4">
        <f t="shared" si="1"/>
        <v>946.44</v>
      </c>
      <c r="E3" s="5">
        <f t="shared" si="2"/>
        <v>18642000</v>
      </c>
      <c r="F3" s="64">
        <f t="shared" si="3"/>
        <v>26000</v>
      </c>
      <c r="G3" s="64">
        <f t="shared" si="4"/>
        <v>23636</v>
      </c>
      <c r="H3" s="64">
        <f t="shared" si="5"/>
        <v>19697</v>
      </c>
      <c r="I3" s="61">
        <f t="shared" si="6"/>
        <v>0</v>
      </c>
      <c r="J3" s="61">
        <f t="shared" si="7"/>
        <v>0</v>
      </c>
      <c r="K3" s="7"/>
      <c r="L3" s="7"/>
      <c r="M3" s="7"/>
      <c r="N3" s="7"/>
      <c r="O3" s="7">
        <v>0</v>
      </c>
      <c r="P3" s="7">
        <f t="shared" si="8"/>
        <v>0</v>
      </c>
      <c r="Q3" s="7">
        <v>717</v>
      </c>
      <c r="R3" s="62">
        <v>18642000</v>
      </c>
      <c r="S3" s="2" t="s">
        <v>75</v>
      </c>
    </row>
    <row r="4" spans="1:19" x14ac:dyDescent="0.25">
      <c r="A4" s="4">
        <v>3</v>
      </c>
      <c r="B4" s="4">
        <f t="shared" si="0"/>
        <v>911</v>
      </c>
      <c r="C4" s="4">
        <f t="shared" si="9"/>
        <v>1002.1000000000001</v>
      </c>
      <c r="D4" s="4">
        <f t="shared" si="1"/>
        <v>1202.5200000000002</v>
      </c>
      <c r="E4" s="5">
        <f t="shared" si="2"/>
        <v>25100000</v>
      </c>
      <c r="F4" s="64">
        <f t="shared" si="3"/>
        <v>27552</v>
      </c>
      <c r="G4" s="64">
        <f t="shared" si="4"/>
        <v>25047</v>
      </c>
      <c r="H4" s="64">
        <f t="shared" si="5"/>
        <v>20873</v>
      </c>
      <c r="I4" s="61">
        <f t="shared" si="6"/>
        <v>0</v>
      </c>
      <c r="J4" s="61">
        <f t="shared" si="7"/>
        <v>0</v>
      </c>
      <c r="K4" s="7"/>
      <c r="L4" s="7"/>
      <c r="M4" s="7"/>
      <c r="N4" s="7"/>
      <c r="O4" s="7">
        <v>0</v>
      </c>
      <c r="P4" s="7">
        <f t="shared" si="8"/>
        <v>0</v>
      </c>
      <c r="Q4" s="7">
        <v>911</v>
      </c>
      <c r="R4" s="62">
        <v>25100000</v>
      </c>
      <c r="S4" s="2"/>
    </row>
    <row r="5" spans="1:19" x14ac:dyDescent="0.25">
      <c r="A5" s="4">
        <v>4</v>
      </c>
      <c r="B5" s="4">
        <f t="shared" si="0"/>
        <v>916</v>
      </c>
      <c r="C5" s="4">
        <f t="shared" si="9"/>
        <v>1007.6000000000001</v>
      </c>
      <c r="D5" s="4">
        <f t="shared" si="1"/>
        <v>1209.1200000000001</v>
      </c>
      <c r="E5" s="5">
        <f t="shared" si="2"/>
        <v>26200000</v>
      </c>
      <c r="F5" s="64">
        <f t="shared" si="3"/>
        <v>28603</v>
      </c>
      <c r="G5" s="64">
        <f t="shared" si="4"/>
        <v>26002</v>
      </c>
      <c r="H5" s="64">
        <f t="shared" si="5"/>
        <v>21669</v>
      </c>
      <c r="I5" s="61">
        <f t="shared" si="6"/>
        <v>0</v>
      </c>
      <c r="J5" s="61">
        <f t="shared" si="7"/>
        <v>0</v>
      </c>
      <c r="K5" s="7"/>
      <c r="L5" s="7"/>
      <c r="M5" s="7"/>
      <c r="N5" s="7"/>
      <c r="O5" s="7">
        <v>0</v>
      </c>
      <c r="P5" s="7">
        <f t="shared" si="8"/>
        <v>0</v>
      </c>
      <c r="Q5" s="7">
        <v>916</v>
      </c>
      <c r="R5" s="62">
        <v>26200000</v>
      </c>
      <c r="S5" s="2"/>
    </row>
    <row r="6" spans="1:19" x14ac:dyDescent="0.25">
      <c r="A6" s="4">
        <v>5</v>
      </c>
      <c r="B6" s="4">
        <f t="shared" si="0"/>
        <v>637</v>
      </c>
      <c r="C6" s="4">
        <f t="shared" si="9"/>
        <v>700.7</v>
      </c>
      <c r="D6" s="4">
        <f t="shared" si="1"/>
        <v>840.84</v>
      </c>
      <c r="E6" s="5">
        <f t="shared" si="2"/>
        <v>17500000</v>
      </c>
      <c r="F6" s="64">
        <f t="shared" si="3"/>
        <v>27473</v>
      </c>
      <c r="G6" s="64">
        <f t="shared" si="4"/>
        <v>24975</v>
      </c>
      <c r="H6" s="64">
        <f t="shared" si="5"/>
        <v>20813</v>
      </c>
      <c r="I6" s="4">
        <f t="shared" si="6"/>
        <v>0</v>
      </c>
      <c r="J6" s="4">
        <f t="shared" si="7"/>
        <v>0</v>
      </c>
      <c r="O6">
        <v>0</v>
      </c>
      <c r="P6">
        <f t="shared" si="8"/>
        <v>0</v>
      </c>
      <c r="Q6">
        <v>637</v>
      </c>
      <c r="R6" s="2">
        <v>17500000</v>
      </c>
      <c r="S6" s="2"/>
    </row>
    <row r="7" spans="1:19" x14ac:dyDescent="0.25">
      <c r="A7" s="4">
        <v>6</v>
      </c>
      <c r="B7" s="4">
        <f t="shared" si="0"/>
        <v>644</v>
      </c>
      <c r="C7" s="4">
        <f t="shared" si="9"/>
        <v>708.40000000000009</v>
      </c>
      <c r="D7" s="4">
        <f t="shared" si="1"/>
        <v>850.08</v>
      </c>
      <c r="E7" s="5">
        <f t="shared" si="2"/>
        <v>18000000</v>
      </c>
      <c r="F7" s="61">
        <f t="shared" si="3"/>
        <v>27950</v>
      </c>
      <c r="G7" s="64">
        <f t="shared" si="4"/>
        <v>25409</v>
      </c>
      <c r="H7" s="64">
        <f t="shared" si="5"/>
        <v>21174</v>
      </c>
      <c r="I7" s="4">
        <f t="shared" si="6"/>
        <v>0</v>
      </c>
      <c r="J7" s="4">
        <f t="shared" si="7"/>
        <v>0</v>
      </c>
      <c r="O7">
        <v>0</v>
      </c>
      <c r="P7">
        <f t="shared" si="8"/>
        <v>0</v>
      </c>
      <c r="Q7">
        <v>644</v>
      </c>
      <c r="R7" s="2">
        <v>18000000</v>
      </c>
      <c r="S7" s="2"/>
    </row>
    <row r="8" spans="1:19" x14ac:dyDescent="0.25">
      <c r="A8" s="4">
        <v>7</v>
      </c>
      <c r="B8" s="4">
        <f t="shared" si="0"/>
        <v>632</v>
      </c>
      <c r="C8" s="4">
        <f t="shared" si="9"/>
        <v>695.2</v>
      </c>
      <c r="D8" s="4">
        <f t="shared" si="1"/>
        <v>834.24</v>
      </c>
      <c r="E8" s="5">
        <f t="shared" si="2"/>
        <v>18500000</v>
      </c>
      <c r="F8" s="61">
        <f t="shared" si="3"/>
        <v>29272</v>
      </c>
      <c r="G8" s="64">
        <f t="shared" si="4"/>
        <v>26611</v>
      </c>
      <c r="H8" s="64">
        <f t="shared" si="5"/>
        <v>22176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v>632</v>
      </c>
      <c r="R8" s="2">
        <v>18500000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ref="Q9:Q22" si="10">P9/1.1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1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9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5">
        <f t="shared" si="2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si="10"/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si="9"/>
        <v>0</v>
      </c>
      <c r="D17" s="4">
        <f t="shared" ref="D17:D21" si="19">C17*1.2</f>
        <v>0</v>
      </c>
      <c r="E17" s="5">
        <f t="shared" ref="E17:E21" si="20">R17</f>
        <v>0</v>
      </c>
      <c r="F17" s="4" t="e">
        <f t="shared" ref="F17" si="21">ROUND((E17/B17),0)</f>
        <v>#DIV/0!</v>
      </c>
      <c r="G17" s="4" t="e">
        <f t="shared" ref="G17" si="22">ROUND((E17/C17),0)</f>
        <v>#DIV/0!</v>
      </c>
      <c r="H17" s="4" t="e">
        <f t="shared" ref="H17" si="23">ROUND((E17/D17),0)</f>
        <v>#DIV/0!</v>
      </c>
      <c r="I17" s="4">
        <f t="shared" ref="I17" si="24">T17</f>
        <v>0</v>
      </c>
      <c r="J17" s="4">
        <f t="shared" ref="J17" si="25">U17</f>
        <v>0</v>
      </c>
      <c r="O17">
        <v>0</v>
      </c>
      <c r="P17">
        <f t="shared" ref="P17" si="26">O17/1.2</f>
        <v>0</v>
      </c>
      <c r="Q17">
        <f t="shared" si="10"/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9"/>
        <v>0</v>
      </c>
      <c r="D18" s="4">
        <f t="shared" si="19"/>
        <v>0</v>
      </c>
      <c r="E18" s="5">
        <f t="shared" si="20"/>
        <v>0</v>
      </c>
      <c r="F18" s="4" t="e">
        <f t="shared" ref="F18:F21" si="27">ROUND((E18/B18),0)</f>
        <v>#DIV/0!</v>
      </c>
      <c r="G18" s="4" t="e">
        <f t="shared" ref="G18:G21" si="28">ROUND((E18/C18),0)</f>
        <v>#DIV/0!</v>
      </c>
      <c r="H18" s="4" t="e">
        <f t="shared" ref="H18:H21" si="29">ROUND((E18/D18),0)</f>
        <v>#DIV/0!</v>
      </c>
      <c r="I18" s="4">
        <f t="shared" ref="I18:J21" si="30">T18</f>
        <v>0</v>
      </c>
      <c r="J18" s="4">
        <f t="shared" si="30"/>
        <v>0</v>
      </c>
      <c r="O18">
        <v>0</v>
      </c>
      <c r="P18">
        <f t="shared" ref="P18" si="31">O18/1.2</f>
        <v>0</v>
      </c>
      <c r="Q18">
        <f t="shared" si="10"/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9"/>
        <v>0</v>
      </c>
      <c r="D19" s="4">
        <f t="shared" si="19"/>
        <v>0</v>
      </c>
      <c r="E19" s="5">
        <f t="shared" si="20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si="10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2">Q20</f>
        <v>0</v>
      </c>
      <c r="C20" s="4">
        <f t="shared" si="9"/>
        <v>0</v>
      </c>
      <c r="D20" s="4">
        <f t="shared" ref="D20" si="33">C20*1.2</f>
        <v>0</v>
      </c>
      <c r="E20" s="5">
        <f t="shared" ref="E20" si="34">R20</f>
        <v>0</v>
      </c>
      <c r="F20" s="4" t="e">
        <f t="shared" ref="F20" si="35">ROUND((E20/B20),0)</f>
        <v>#DIV/0!</v>
      </c>
      <c r="G20" s="4" t="e">
        <f t="shared" ref="G20" si="36">ROUND((E20/C20),0)</f>
        <v>#DIV/0!</v>
      </c>
      <c r="H20" s="4" t="e">
        <f t="shared" ref="H20" si="37">ROUND((E20/D20),0)</f>
        <v>#DIV/0!</v>
      </c>
      <c r="I20" s="4">
        <f t="shared" ref="I20" si="38">T20</f>
        <v>0</v>
      </c>
      <c r="J20" s="4">
        <f t="shared" ref="J20" si="39">U20</f>
        <v>0</v>
      </c>
      <c r="O20">
        <v>0</v>
      </c>
      <c r="P20">
        <f t="shared" ref="P20" si="40">O20/1.2</f>
        <v>0</v>
      </c>
      <c r="Q20">
        <f t="shared" si="10"/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9"/>
        <v>0</v>
      </c>
      <c r="D21" s="4">
        <f t="shared" si="19"/>
        <v>0</v>
      </c>
      <c r="E21" s="5">
        <f t="shared" si="20"/>
        <v>0</v>
      </c>
      <c r="F21" s="4" t="e">
        <f t="shared" si="27"/>
        <v>#DIV/0!</v>
      </c>
      <c r="G21" s="4" t="e">
        <f t="shared" si="28"/>
        <v>#DIV/0!</v>
      </c>
      <c r="H21" s="4" t="e">
        <f t="shared" si="29"/>
        <v>#DIV/0!</v>
      </c>
      <c r="I21" s="4">
        <f t="shared" si="30"/>
        <v>0</v>
      </c>
      <c r="J21" s="4">
        <f t="shared" si="30"/>
        <v>0</v>
      </c>
      <c r="O21">
        <v>0</v>
      </c>
      <c r="P21">
        <f>O21/1.2</f>
        <v>0</v>
      </c>
      <c r="Q21">
        <f t="shared" si="10"/>
        <v>0</v>
      </c>
      <c r="R21" s="2">
        <v>0</v>
      </c>
      <c r="S21" s="2"/>
    </row>
    <row r="22" spans="1:19" s="9" customFormat="1" x14ac:dyDescent="0.25">
      <c r="Q22">
        <f t="shared" si="10"/>
        <v>0</v>
      </c>
    </row>
    <row r="23" spans="1:19" s="9" customFormat="1" x14ac:dyDescent="0.25">
      <c r="G23" s="9" t="s">
        <v>76</v>
      </c>
    </row>
    <row r="24" spans="1:19" s="9" customFormat="1" x14ac:dyDescent="0.25">
      <c r="F24" s="57"/>
    </row>
    <row r="25" spans="1:19" s="9" customFormat="1" x14ac:dyDescent="0.25">
      <c r="F25" s="58"/>
    </row>
    <row r="26" spans="1:19" s="9" customFormat="1" x14ac:dyDescent="0.25">
      <c r="F26" s="58"/>
    </row>
    <row r="27" spans="1:19" s="9" customFormat="1" x14ac:dyDescent="0.25">
      <c r="F27" s="58" t="s">
        <v>81</v>
      </c>
      <c r="G27" s="9">
        <v>615</v>
      </c>
    </row>
    <row r="28" spans="1:19" s="9" customFormat="1" x14ac:dyDescent="0.25">
      <c r="C28" s="56" t="s">
        <v>64</v>
      </c>
      <c r="D28" s="56" t="s">
        <v>77</v>
      </c>
      <c r="F28" s="43" t="s">
        <v>82</v>
      </c>
      <c r="G28" s="43">
        <v>29</v>
      </c>
    </row>
    <row r="29" spans="1:19" s="9" customFormat="1" x14ac:dyDescent="0.25">
      <c r="C29" s="56" t="s">
        <v>78</v>
      </c>
      <c r="D29" s="56">
        <v>14500000</v>
      </c>
      <c r="F29" s="43" t="s">
        <v>83</v>
      </c>
      <c r="G29" s="43">
        <f>G28+G27</f>
        <v>644</v>
      </c>
    </row>
    <row r="30" spans="1:19" s="9" customFormat="1" x14ac:dyDescent="0.25">
      <c r="C30" s="9" t="s">
        <v>79</v>
      </c>
      <c r="D30" s="9">
        <v>870000</v>
      </c>
      <c r="F30" s="43" t="s">
        <v>85</v>
      </c>
      <c r="G30" s="43">
        <v>27500</v>
      </c>
    </row>
    <row r="31" spans="1:19" s="9" customFormat="1" x14ac:dyDescent="0.25">
      <c r="C31" s="59" t="s">
        <v>80</v>
      </c>
      <c r="D31" s="59">
        <v>30000</v>
      </c>
      <c r="F31" s="59" t="s">
        <v>84</v>
      </c>
      <c r="G31" s="59">
        <v>709</v>
      </c>
      <c r="H31" s="9">
        <f>65.83*10.764</f>
        <v>708.59411999999998</v>
      </c>
      <c r="I31" s="9">
        <f>H31/G29</f>
        <v>1.1003014285714285</v>
      </c>
      <c r="N31" s="9" t="s">
        <v>86</v>
      </c>
    </row>
    <row r="32" spans="1:19" s="9" customFormat="1" x14ac:dyDescent="0.25">
      <c r="C32" s="59"/>
      <c r="D32" s="59">
        <f>SUM(D29:D31)</f>
        <v>15400000</v>
      </c>
      <c r="F32" s="59" t="s">
        <v>63</v>
      </c>
      <c r="G32" s="59">
        <f>G30*G29</f>
        <v>17710000</v>
      </c>
    </row>
    <row r="33" spans="3:7" s="9" customFormat="1" x14ac:dyDescent="0.25">
      <c r="C33" s="59"/>
      <c r="D33" s="59"/>
      <c r="F33" s="63" t="s">
        <v>24</v>
      </c>
      <c r="G33" s="59">
        <f>G32*90%</f>
        <v>15939000</v>
      </c>
    </row>
    <row r="34" spans="3:7" s="9" customFormat="1" x14ac:dyDescent="0.25">
      <c r="C34" s="59"/>
      <c r="D34" s="59"/>
      <c r="F34" s="59" t="s">
        <v>25</v>
      </c>
      <c r="G34" s="59">
        <f>G32*80%</f>
        <v>14168000</v>
      </c>
    </row>
    <row r="35" spans="3:7" s="9" customFormat="1" x14ac:dyDescent="0.25">
      <c r="C35" s="59"/>
      <c r="D35" s="59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2024-06-03T10:27:57Z</dcterms:modified>
</cp:coreProperties>
</file>